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6.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worksheets/sheet42.xml" ContentType="application/vnd.openxmlformats-officedocument.spreadsheetml.worksheet+xml"/>
  <Override PartName="/xl/drawings/drawing8.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9.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5480" windowHeight="11385" activeTab="0"/>
  </bookViews>
  <sheets>
    <sheet name="Intro"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53" sheetId="54" r:id="rId54"/>
  </sheets>
  <definedNames/>
  <calcPr fullCalcOnLoad="1"/>
</workbook>
</file>

<file path=xl/comments10.xml><?xml version="1.0" encoding="utf-8"?>
<comments xmlns="http://schemas.openxmlformats.org/spreadsheetml/2006/main">
  <authors>
    <author> </author>
  </authors>
  <commentList>
    <comment ref="D6" authorId="0">
      <text>
        <r>
          <rPr>
            <b/>
            <sz val="8"/>
            <rFont val="Tahoma"/>
            <family val="0"/>
          </rPr>
          <t xml:space="preserve">MOVE AND ATTACK
-2 or Bulk of weapon, whichever is </t>
        </r>
        <r>
          <rPr>
            <b/>
            <i/>
            <sz val="8"/>
            <rFont val="Tahoma"/>
            <family val="2"/>
          </rPr>
          <t>worse</t>
        </r>
      </text>
    </comment>
    <comment ref="D8" authorId="0">
      <text>
        <r>
          <rPr>
            <b/>
            <sz val="8"/>
            <rFont val="Tahoma"/>
            <family val="0"/>
          </rPr>
          <t>COUGHING OR SNEEZING
-3 to DX, -1 to IQ, cannot use Stealth</t>
        </r>
      </text>
    </comment>
    <comment ref="D9" authorId="0">
      <text>
        <r>
          <rPr>
            <b/>
            <sz val="8"/>
            <rFont val="Tahoma"/>
            <family val="0"/>
          </rPr>
          <t>DROWSY
-2 to DX, IQ, and self-control rolls</t>
        </r>
      </text>
    </comment>
    <comment ref="D10" authorId="0">
      <text>
        <r>
          <rPr>
            <b/>
            <sz val="8"/>
            <rFont val="Tahoma"/>
            <family val="0"/>
          </rPr>
          <t>DRUNK
-2 to DX and IQ, -4 to self-control rolls except for Cowardice</t>
        </r>
      </text>
    </comment>
    <comment ref="D11" authorId="0">
      <text>
        <r>
          <rPr>
            <b/>
            <sz val="8"/>
            <rFont val="Tahoma"/>
            <family val="0"/>
          </rPr>
          <t>EUPHORIA
-3 to DX, IQ, skill, and self-control rolls</t>
        </r>
      </text>
    </comment>
    <comment ref="D12" authorId="0">
      <text>
        <r>
          <rPr>
            <b/>
            <sz val="8"/>
            <rFont val="Tahoma"/>
            <family val="0"/>
          </rPr>
          <t>NAUSEATED
-2 to all attribute and skill rolls
-1 to active defenses</t>
        </r>
      </text>
    </comment>
    <comment ref="D13" authorId="0">
      <text>
        <r>
          <rPr>
            <b/>
            <sz val="8"/>
            <rFont val="Tahoma"/>
            <family val="0"/>
          </rPr>
          <t>PAIN, MODERATE
-2 to DX, IQ, skill, and self-control rolls;
(-1 with High Pain Threshold, -4 with Low Pain Threshold)</t>
        </r>
      </text>
    </comment>
    <comment ref="D14" authorId="0">
      <text>
        <r>
          <rPr>
            <b/>
            <sz val="8"/>
            <rFont val="Tahoma"/>
            <family val="0"/>
          </rPr>
          <t>PAIN, SEVERE
-4 to DX, IQ, skill, and self-control rolls;
(-2 with High Pain Threshold, -8 with Low Pain Threshold)</t>
        </r>
      </text>
    </comment>
    <comment ref="D15" authorId="0">
      <text>
        <r>
          <rPr>
            <b/>
            <sz val="8"/>
            <rFont val="Tahoma"/>
            <family val="0"/>
          </rPr>
          <t>PAIN, TERRIBLE
-6 to DX, IQ, skill, and self-control rolls;
(-3 with High Pain Threshold, -12 with Low Pain Threshold)</t>
        </r>
      </text>
    </comment>
    <comment ref="D19" authorId="0">
      <text>
        <r>
          <rPr>
            <b/>
            <sz val="8"/>
            <rFont val="Tahoma"/>
            <family val="0"/>
          </rPr>
          <t>CLOSE COMBAT
A penalty equal to the weapon's Bulk</t>
        </r>
      </text>
    </comment>
    <comment ref="D20" authorId="0">
      <text>
        <r>
          <rPr>
            <b/>
            <sz val="8"/>
            <rFont val="Tahoma"/>
            <family val="0"/>
          </rPr>
          <t>DAMAGED WEAPON
-HP of injury received last turn (max. -4)</t>
        </r>
      </text>
    </comment>
    <comment ref="D21" authorId="0">
      <text>
        <r>
          <rPr>
            <b/>
            <sz val="8"/>
            <rFont val="Tahoma"/>
            <family val="0"/>
          </rPr>
          <t>MAJOR DISTRACTION
e.g., all clothes on fire</t>
        </r>
      </text>
    </comment>
    <comment ref="D22" authorId="0">
      <text>
        <r>
          <rPr>
            <b/>
            <sz val="8"/>
            <rFont val="Tahoma"/>
            <family val="0"/>
          </rPr>
          <t>MINOR DISTRACTION
e.g., part of clothes on fire</t>
        </r>
      </text>
    </comment>
    <comment ref="D23" authorId="0">
      <text>
        <r>
          <rPr>
            <b/>
            <sz val="8"/>
            <rFont val="Tahoma"/>
            <family val="0"/>
          </rPr>
          <t>SHOCK
-HP of injury received last turn (max. -4)</t>
        </r>
      </text>
    </comment>
    <comment ref="D24" authorId="0">
      <text>
        <r>
          <rPr>
            <b/>
            <sz val="8"/>
            <rFont val="Tahoma"/>
            <family val="0"/>
          </rPr>
          <t>ST BELOW THAT REQUIRED FOR WEAPON
-1 per point of deficit</t>
        </r>
      </text>
    </comment>
  </commentList>
</comments>
</file>

<file path=xl/comments11.xml><?xml version="1.0" encoding="utf-8"?>
<comments xmlns="http://schemas.openxmlformats.org/spreadsheetml/2006/main">
  <authors>
    <author> </author>
  </authors>
  <commentList>
    <comment ref="D8" authorId="0">
      <text>
        <r>
          <rPr>
            <b/>
            <sz val="8"/>
            <rFont val="Tahoma"/>
            <family val="0"/>
          </rPr>
          <t>VEHICLE/MOUNT FAILED CONTROL ROLL
Penalty equal to margin of failure</t>
        </r>
      </text>
    </comment>
  </commentList>
</comments>
</file>

<file path=xl/comments12.xml><?xml version="1.0" encoding="utf-8"?>
<comments xmlns="http://schemas.openxmlformats.org/spreadsheetml/2006/main">
  <authors>
    <author> </author>
  </authors>
  <commentList>
    <comment ref="D6" authorId="0">
      <text>
        <r>
          <rPr>
            <b/>
            <sz val="8"/>
            <rFont val="Tahoma"/>
            <family val="0"/>
          </rPr>
          <t>DUAL-WEAPON ATTACK
-4/-8 with primary/offhand
-4/-4 with Ambidexterity
(note: spreadsheet only functions 
for main hand attacks)</t>
        </r>
      </text>
    </comment>
    <comment ref="D7" authorId="0">
      <text>
        <r>
          <rPr>
            <b/>
            <sz val="8"/>
            <rFont val="Tahoma"/>
            <family val="0"/>
          </rPr>
          <t>OFF-HAND ATTACK
No penalty with Ambidexterity</t>
        </r>
      </text>
    </comment>
    <comment ref="D11" authorId="0">
      <text>
        <r>
          <rPr>
            <b/>
            <sz val="8"/>
            <rFont val="Tahoma"/>
            <family val="0"/>
          </rPr>
          <t>TARGET IS BEHIND SOMEONE ELSE
-4 per intervening figure</t>
        </r>
      </text>
    </comment>
    <comment ref="D12" authorId="0">
      <text>
        <r>
          <rPr>
            <b/>
            <sz val="8"/>
            <rFont val="Tahoma"/>
            <family val="0"/>
          </rPr>
          <t xml:space="preserve">TARGET IS CROUCHING, KNEELING, SITTING, OR LYING DOWN
An </t>
        </r>
        <r>
          <rPr>
            <b/>
            <i/>
            <sz val="8"/>
            <rFont val="Tahoma"/>
            <family val="2"/>
          </rPr>
          <t>extra</t>
        </r>
        <r>
          <rPr>
            <b/>
            <sz val="8"/>
            <rFont val="Tahoma"/>
            <family val="2"/>
          </rPr>
          <t xml:space="preserve"> -2 to hit torso, groin, or legs</t>
        </r>
      </text>
    </comment>
  </commentList>
</comments>
</file>

<file path=xl/comments14.xml><?xml version="1.0" encoding="utf-8"?>
<comments xmlns="http://schemas.openxmlformats.org/spreadsheetml/2006/main">
  <authors>
    <author> </author>
  </authors>
  <commentList>
    <comment ref="D15" authorId="0">
      <text>
        <r>
          <rPr>
            <b/>
            <sz val="8"/>
            <rFont val="Tahoma"/>
            <family val="0"/>
          </rPr>
          <t>POP-UP ATTACK
-2, and no Aim possible</t>
        </r>
      </text>
    </comment>
  </commentList>
</comments>
</file>

<file path=xl/comments15.xml><?xml version="1.0" encoding="utf-8"?>
<comments xmlns="http://schemas.openxmlformats.org/spreadsheetml/2006/main">
  <authors>
    <author> </author>
  </authors>
  <commentList>
    <comment ref="D5" authorId="0">
      <text>
        <r>
          <rPr>
            <b/>
            <sz val="8"/>
            <rFont val="Tahoma"/>
            <family val="0"/>
          </rPr>
          <t>AIM FOR ONE TURN
+Accuracy of weapon</t>
        </r>
      </text>
    </comment>
    <comment ref="D8" authorId="0">
      <text>
        <r>
          <rPr>
            <b/>
            <sz val="8"/>
            <rFont val="Tahoma"/>
            <family val="0"/>
          </rPr>
          <t xml:space="preserve">BRACED WEAPON
+1 if you are stationary </t>
        </r>
        <r>
          <rPr>
            <b/>
            <i/>
            <sz val="8"/>
            <rFont val="Tahoma"/>
            <family val="2"/>
          </rPr>
          <t>and</t>
        </r>
        <r>
          <rPr>
            <b/>
            <sz val="8"/>
            <rFont val="Tahoma"/>
            <family val="2"/>
          </rPr>
          <t xml:space="preserve"> took a turn to Aim</t>
        </r>
      </text>
    </comment>
    <comment ref="D11" authorId="0">
      <text>
        <r>
          <rPr>
            <b/>
            <sz val="8"/>
            <rFont val="Tahoma"/>
            <family val="0"/>
          </rPr>
          <t>SCOPE
+1 per second of Aim, to a maximum of the scope's bonus</t>
        </r>
      </text>
    </comment>
    <comment ref="D12" authorId="0">
      <text>
        <r>
          <rPr>
            <b/>
            <sz val="8"/>
            <rFont val="Tahoma"/>
            <family val="0"/>
          </rPr>
          <t>VEHICULAR TARGETING SYSTEM
+1 to +3 if shooter took a turn to Aim</t>
        </r>
      </text>
    </comment>
  </commentList>
</comments>
</file>

<file path=xl/comments18.xml><?xml version="1.0" encoding="utf-8"?>
<comments xmlns="http://schemas.openxmlformats.org/spreadsheetml/2006/main">
  <authors>
    <author> </author>
  </authors>
  <commentList>
    <comment ref="D9" authorId="0">
      <text>
        <r>
          <rPr>
            <b/>
            <sz val="8"/>
            <rFont val="Tahoma"/>
            <family val="0"/>
          </rPr>
          <t>CRAWLING OR LYING DOWN
If crawling, can only make Reach "C" attacks</t>
        </r>
      </text>
    </comment>
  </commentList>
</comments>
</file>

<file path=xl/comments19.xml><?xml version="1.0" encoding="utf-8"?>
<comments xmlns="http://schemas.openxmlformats.org/spreadsheetml/2006/main">
  <authors>
    <author> </author>
  </authors>
  <commentList>
    <comment ref="D5" authorId="0">
      <text>
        <r>
          <rPr>
            <b/>
            <sz val="8"/>
            <rFont val="Tahoma"/>
            <family val="0"/>
          </rPr>
          <t>COUGHING OR SNEEZING
-3 to DX, -1 to IQ, cannot use Stealth</t>
        </r>
      </text>
    </comment>
    <comment ref="D6" authorId="0">
      <text>
        <r>
          <rPr>
            <b/>
            <sz val="8"/>
            <rFont val="Tahoma"/>
            <family val="0"/>
          </rPr>
          <t>DROWSY
-2 to DX, IQ, and self-control rolls</t>
        </r>
      </text>
    </comment>
    <comment ref="D7" authorId="0">
      <text>
        <r>
          <rPr>
            <b/>
            <sz val="8"/>
            <rFont val="Tahoma"/>
            <family val="0"/>
          </rPr>
          <t>DRUNK
-2 to DX and IQ, -4 to self-control rolls except for Cowardice</t>
        </r>
      </text>
    </comment>
    <comment ref="D8" authorId="0">
      <text>
        <r>
          <rPr>
            <b/>
            <sz val="8"/>
            <rFont val="Tahoma"/>
            <family val="0"/>
          </rPr>
          <t>EUPHORIA
-3 to DX, IQ, skill, and self-control rolls</t>
        </r>
      </text>
    </comment>
    <comment ref="D9" authorId="0">
      <text>
        <r>
          <rPr>
            <b/>
            <sz val="8"/>
            <rFont val="Tahoma"/>
            <family val="0"/>
          </rPr>
          <t>NAUSEATED
-2 to all attribute and skill rolls
-1 to active defenses</t>
        </r>
      </text>
    </comment>
    <comment ref="D10" authorId="0">
      <text>
        <r>
          <rPr>
            <b/>
            <sz val="8"/>
            <rFont val="Tahoma"/>
            <family val="0"/>
          </rPr>
          <t>PAIN, MODERATE
-2 to DX, IQ, skill, and self-control rolls;
(-1 with High Pain Threshold, -4 with Low Pain Threshold)</t>
        </r>
      </text>
    </comment>
    <comment ref="D11" authorId="0">
      <text>
        <r>
          <rPr>
            <b/>
            <sz val="8"/>
            <rFont val="Tahoma"/>
            <family val="0"/>
          </rPr>
          <t>PAIN, SEVERE
-4 to DX, IQ, skill, and self-control rolls;
(-2 with High Pain Threshold, -8 with Low Pain Threshold)</t>
        </r>
      </text>
    </comment>
    <comment ref="D12" authorId="0">
      <text>
        <r>
          <rPr>
            <b/>
            <sz val="8"/>
            <rFont val="Tahoma"/>
            <family val="0"/>
          </rPr>
          <t>PAIN, TERRIBLE
-6 to DX, IQ, skill, and self-control rolls;
(-3 with High Pain Threshold, -12 with Low Pain Threshold)</t>
        </r>
      </text>
    </comment>
    <comment ref="D18" authorId="0">
      <text>
        <r>
          <rPr>
            <b/>
            <sz val="8"/>
            <rFont val="Tahoma"/>
            <family val="0"/>
          </rPr>
          <t>MAJOR DISTRACTION
e.g., all clothes on fire</t>
        </r>
      </text>
    </comment>
    <comment ref="D19" authorId="0">
      <text>
        <r>
          <rPr>
            <b/>
            <sz val="8"/>
            <rFont val="Tahoma"/>
            <family val="0"/>
          </rPr>
          <t>MINOR DISTRACTION
e.g., part of clothes on fire</t>
        </r>
      </text>
    </comment>
    <comment ref="D22" authorId="0">
      <text>
        <r>
          <rPr>
            <b/>
            <sz val="8"/>
            <rFont val="Tahoma"/>
            <family val="0"/>
          </rPr>
          <t>SHOCK
-HP of injury received last turn (max. -4)</t>
        </r>
      </text>
    </comment>
    <comment ref="D23" authorId="0">
      <text>
        <r>
          <rPr>
            <b/>
            <sz val="8"/>
            <rFont val="Tahoma"/>
            <family val="0"/>
          </rPr>
          <t>ST BELOW THAT REQUIRED FOR WEAPON
-1 per point of deficit</t>
        </r>
      </text>
    </comment>
    <comment ref="D24" authorId="0">
      <text>
        <r>
          <rPr>
            <b/>
            <sz val="8"/>
            <rFont val="Tahoma"/>
            <family val="0"/>
          </rPr>
          <t xml:space="preserve"> WEARING A SHIELD IN CLOSE COMBAT
- DB (Defense Bonus) of shield: -1 for a small shield and most improvised shields; -2 for a medium shield; -3 for a large shield</t>
        </r>
      </text>
    </comment>
  </commentList>
</comments>
</file>

<file path=xl/comments20.xml><?xml version="1.0" encoding="utf-8"?>
<comments xmlns="http://schemas.openxmlformats.org/spreadsheetml/2006/main">
  <authors>
    <author> </author>
  </authors>
  <commentList>
    <comment ref="D5" authorId="0">
      <text>
        <r>
          <rPr>
            <b/>
            <sz val="8"/>
            <rFont val="Tahoma"/>
            <family val="0"/>
          </rPr>
          <t>DECEPTIVE ATTACK
-2 per -1 penalty to foe's defense
You may not reduce your final effective skill below 10 with a Deceptive Attack</t>
        </r>
      </text>
    </comment>
    <comment ref="D6" authorId="0">
      <text>
        <r>
          <rPr>
            <b/>
            <sz val="8"/>
            <rFont val="Tahoma"/>
            <family val="0"/>
          </rPr>
          <t>DUAL-WEAPON ATTACK
-4/-8 with primary/offhand
-4/-4 with Ambidexterity
(note: spreadsheet only functions 
for main hand attacks)</t>
        </r>
      </text>
    </comment>
    <comment ref="D10" authorId="0">
      <text>
        <r>
          <rPr>
            <b/>
            <sz val="8"/>
            <rFont val="Tahoma"/>
            <family val="0"/>
          </rPr>
          <t>OFF-HAND ATTACK
No penalty with
Ambidexterity</t>
        </r>
      </text>
    </comment>
    <comment ref="D11" authorId="0">
      <text>
        <r>
          <rPr>
            <b/>
            <sz val="8"/>
            <rFont val="Tahoma"/>
            <family val="0"/>
          </rPr>
          <t>RAPID STRIKE
-6 penalty applies to both attacks
(note: spreadsheet only functions for
single attacks)</t>
        </r>
      </text>
    </comment>
    <comment ref="D12" authorId="0">
      <text>
        <r>
          <rPr>
            <b/>
            <sz val="8"/>
            <rFont val="Tahoma"/>
            <family val="0"/>
          </rPr>
          <t>RAPID STRIKE
W/ TRAINED BY A MASTER OR WEAPON MASTER
-3 penalty applies to both attacks
(note: spreadsheet only functions for
single attacks)</t>
        </r>
      </text>
    </comment>
  </commentList>
</comments>
</file>

<file path=xl/comments26.xml><?xml version="1.0" encoding="utf-8"?>
<comments xmlns="http://schemas.openxmlformats.org/spreadsheetml/2006/main">
  <authors>
    <author> </author>
  </authors>
  <commentList>
    <comment ref="D9" authorId="0">
      <text>
        <r>
          <rPr>
            <b/>
            <sz val="8"/>
            <rFont val="Tahoma"/>
            <family val="0"/>
          </rPr>
          <t xml:space="preserve">SHIELD OR CLOAK
+ DB of shield (see Shield Table, B287). Only applies against attacks from the front or shield side, and only against melee or muscle-powered ranged weapons - not against firearms unless you use the optional Damage to Shields rule (B484).
</t>
        </r>
      </text>
    </comment>
    <comment ref="D10" authorId="0">
      <text>
        <r>
          <rPr>
            <b/>
            <sz val="8"/>
            <rFont val="Tahoma"/>
            <family val="0"/>
          </rPr>
          <t>UNARMED PARRY VS. WEAPON
No penalty to Parry with Judo or Karate skill, or against thrusting attacks.</t>
        </r>
      </text>
    </comment>
    <comment ref="C12" authorId="0">
      <text>
        <r>
          <rPr>
            <b/>
            <sz val="8"/>
            <rFont val="Tahoma"/>
            <family val="0"/>
          </rPr>
          <t>DEFENDER'S MANEUVER
Note that if the defender's maneuver was All-Out Attack, he may not defend at all; if it was Move and Attack, he may only dodge or block, but not parry.</t>
        </r>
      </text>
    </comment>
    <comment ref="D22" authorId="0">
      <text>
        <r>
          <rPr>
            <b/>
            <sz val="8"/>
            <rFont val="Tahoma"/>
            <family val="0"/>
          </rPr>
          <t>CAN'T SEE ATTACKER
A block or parry requires a 
Hearing-2 roll.</t>
        </r>
      </text>
    </comment>
    <comment ref="D24" authorId="0">
      <text>
        <r>
          <rPr>
            <b/>
            <sz val="8"/>
            <rFont val="Tahoma"/>
            <family val="0"/>
          </rPr>
          <t>ENCUMBERED
Penalty equal to encumbrance level to Dodge, or to Judo, Karate, or any fencing Parry.
-1 Light Encumbrance
-2 Medium Encumbrance
-3 Heavy Encumbrance
-4 Extra-Heavy Encumbrance</t>
        </r>
      </text>
    </comment>
    <comment ref="D25" authorId="0">
      <text>
        <r>
          <rPr>
            <b/>
            <sz val="8"/>
            <rFont val="Tahoma"/>
            <family val="0"/>
          </rPr>
          <t>MOUNTED
Penalty equal to difference between 12 and Riding skill (no penalty for Riding at 12+)</t>
        </r>
      </text>
    </comment>
    <comment ref="D26" authorId="0">
      <text>
        <r>
          <rPr>
            <b/>
            <sz val="8"/>
            <rFont val="Tahoma"/>
            <family val="0"/>
          </rPr>
          <t>RELATIVE ELEVATION
Above attacker, 3' difference: 1
Above attacker, 4' difference: 2
Above attacker, 5' difference: 3
Below attacker, 3' difference: -1
Below attacker, 4' difference: -2
Below attacker, 5' difference: -3</t>
        </r>
      </text>
    </comment>
    <comment ref="D30" authorId="0">
      <text>
        <r>
          <rPr>
            <b/>
            <sz val="8"/>
            <rFont val="Tahoma"/>
            <family val="0"/>
          </rPr>
          <t>ATTACK FROM BEHIND
No defense possible without Peripheral
Vision.</t>
        </r>
      </text>
    </comment>
    <comment ref="D31" authorId="0">
      <text>
        <r>
          <rPr>
            <b/>
            <sz val="8"/>
            <rFont val="Tahoma"/>
            <family val="0"/>
          </rPr>
          <t>ATTACK FROM SIDE OR "RUNAROUND" ATTACK
No penalty with Peripheral Vision</t>
        </r>
      </text>
    </comment>
    <comment ref="D33" authorId="0">
      <text>
        <r>
          <rPr>
            <b/>
            <sz val="8"/>
            <rFont val="Tahoma"/>
            <family val="0"/>
          </rPr>
          <t>DECEPTIVE ATTACK
-1 per -2 the attacker took to 
his attack</t>
        </r>
      </text>
    </comment>
    <comment ref="D36" authorId="0">
      <text>
        <r>
          <rPr>
            <b/>
            <sz val="8"/>
            <rFont val="Tahoma"/>
            <family val="0"/>
          </rPr>
          <t>FLAIL (PARRY)
Fencing weapons can't 
parry at all</t>
        </r>
      </text>
    </comment>
    <comment ref="D38" authorId="0">
      <text>
        <r>
          <rPr>
            <b/>
            <sz val="8"/>
            <rFont val="Tahoma"/>
            <family val="0"/>
          </rPr>
          <t>NUNCHAKU (PARRY)
Fencing weapons can't 
parry at all</t>
        </r>
      </text>
    </comment>
    <comment ref="D39" authorId="0">
      <text>
        <r>
          <rPr>
            <b/>
            <sz val="8"/>
            <rFont val="Tahoma"/>
            <family val="0"/>
          </rPr>
          <t>SUCCESSFUL FEINT
Penalty equal to attacker's 
margin of victory</t>
        </r>
      </text>
    </comment>
    <comment ref="D48" authorId="0">
      <text>
        <r>
          <rPr>
            <b/>
            <sz val="8"/>
            <rFont val="Tahoma"/>
            <family val="0"/>
          </rPr>
          <t>MULTIPLE PARRIES
-4 to Parry per parry after the first, cumulative 
(halved for fencing weapons, and for Trained By 
A Master or Weapon Master)</t>
        </r>
      </text>
    </comment>
  </commentList>
</comments>
</file>

<file path=xl/comments6.xml><?xml version="1.0" encoding="utf-8"?>
<comments xmlns="http://schemas.openxmlformats.org/spreadsheetml/2006/main">
  <authors>
    <author> </author>
  </authors>
  <commentList>
    <comment ref="D20" authorId="0">
      <text>
        <r>
          <rPr>
            <b/>
            <sz val="8"/>
            <rFont val="Tahoma"/>
            <family val="0"/>
          </rPr>
          <t>SMALL WEAPON
A pistol, or Reach "C" weapon, like a knife.</t>
        </r>
      </text>
    </comment>
    <comment ref="D21" authorId="0">
      <text>
        <r>
          <rPr>
            <b/>
            <sz val="8"/>
            <rFont val="Tahoma"/>
            <family val="0"/>
          </rPr>
          <t>MEDIUM WEAPON
A Reach "1" weapon, like a broadsword.</t>
        </r>
      </text>
    </comment>
    <comment ref="D22" authorId="0">
      <text>
        <r>
          <rPr>
            <b/>
            <sz val="8"/>
            <rFont val="Tahoma"/>
            <family val="0"/>
          </rPr>
          <t>LARGE WEAPON
A rifle, or Reach "2+" weapon, like a spear.</t>
        </r>
      </text>
    </comment>
  </commentList>
</comments>
</file>

<file path=xl/sharedStrings.xml><?xml version="1.0" encoding="utf-8"?>
<sst xmlns="http://schemas.openxmlformats.org/spreadsheetml/2006/main" count="1019" uniqueCount="502">
  <si>
    <t>GURPS Combat Spreadsheet - version 0.1</t>
  </si>
  <si>
    <t>Combat Spreadsheet Home Page</t>
  </si>
  <si>
    <t>GURPS Combat Examples</t>
  </si>
  <si>
    <t>To reset the entire spreadsheet to its default state, click the button below.</t>
  </si>
  <si>
    <r>
      <t>WARNING</t>
    </r>
    <r>
      <rPr>
        <sz val="12"/>
        <rFont val="Times New Roman"/>
        <family val="1"/>
      </rPr>
      <t xml:space="preserve">: This will reset </t>
    </r>
    <r>
      <rPr>
        <i/>
        <sz val="12"/>
        <rFont val="Times New Roman"/>
        <family val="1"/>
      </rPr>
      <t>all</t>
    </r>
    <r>
      <rPr>
        <sz val="12"/>
        <rFont val="Times New Roman"/>
        <family val="1"/>
      </rPr>
      <t xml:space="preserve"> data - all checkboxes will be unchecked, all chosen list items will be unchosen, all die-rolls will be erased!</t>
    </r>
  </si>
  <si>
    <r>
      <t>This spreadsheet is very much an alpha version, version 0.1 - it's not much more than a 'proof of concept' at the moment; it works, but it's a bit ugly. I am very interested in feedback to improve it - if you have any questions, suggestions, or notice any bugs (either with the GURPS rules or the Excel formulas and presentation), I'd appreciate hearing about them. You can either post to the project's forum (below), or send an email to "</t>
    </r>
    <r>
      <rPr>
        <i/>
        <sz val="12"/>
        <rFont val="Times New Roman"/>
        <family val="1"/>
      </rPr>
      <t>admin@themook.net</t>
    </r>
    <r>
      <rPr>
        <sz val="12"/>
        <rFont val="Times New Roman"/>
        <family val="1"/>
      </rPr>
      <t xml:space="preserve">".
I hope you find this useful for learning the GURPS combat system! (Go to Step </t>
    </r>
    <r>
      <rPr>
        <b/>
        <sz val="12"/>
        <rFont val="Times New Roman"/>
        <family val="1"/>
      </rPr>
      <t>[1]</t>
    </r>
    <r>
      <rPr>
        <sz val="12"/>
        <rFont val="Times New Roman"/>
        <family val="1"/>
      </rPr>
      <t xml:space="preserve"> to begin)</t>
    </r>
  </si>
  <si>
    <r>
      <t xml:space="preserve">Welcome to my spreadsheet for GURPS 4th edition combat!
There are a number of useful text flowcharts for combat in GURPS 4th edition, such as those by Bjork, Collective Restraint, Rasputin and others (links on homepage). Using those as a base, I set out to make a spreadsheet that would allow users to go through GURPS combat step-by-step, inputting values as necessary, to assist in learning the combat system and how its many options interact together. 
I imagine it would be a bit cumbersome to use this spreadsheet during actual gameplay - my goal is more to give GMs and players new to GURPS 4th edition a tool they can fiddle with outside of gameplay to run through the combat system and see how things "flow". Sort of a way to practice combat alone. 
Like my other recent GURPS project, the </t>
    </r>
    <r>
      <rPr>
        <b/>
        <sz val="12"/>
        <rFont val="Times New Roman"/>
        <family val="1"/>
      </rPr>
      <t>Combat Examples</t>
    </r>
    <r>
      <rPr>
        <sz val="12"/>
        <rFont val="Times New Roman"/>
        <family val="1"/>
      </rPr>
      <t>, I have limited the scope of the rules to only the options found in the GURPS Basic Set, 4th edition. Options from Martial Arts and High-Tech may find their way in later, but for the moment I'm sticking to Basic only.</t>
    </r>
  </si>
  <si>
    <t>Links</t>
  </si>
  <si>
    <t>Ranged Attack?</t>
  </si>
  <si>
    <t>Melee Attack?</t>
  </si>
  <si>
    <r>
      <t xml:space="preserve">If the attack is a melee attack, go to </t>
    </r>
    <r>
      <rPr>
        <b/>
        <sz val="12"/>
        <rFont val="Times New Roman"/>
        <family val="1"/>
      </rPr>
      <t>[16]</t>
    </r>
    <r>
      <rPr>
        <sz val="12"/>
        <rFont val="Times New Roman"/>
        <family val="1"/>
      </rPr>
      <t>.</t>
    </r>
  </si>
  <si>
    <r>
      <t xml:space="preserve">A </t>
    </r>
    <r>
      <rPr>
        <b/>
        <sz val="12"/>
        <rFont val="Times New Roman"/>
        <family val="1"/>
      </rPr>
      <t>hit</t>
    </r>
    <r>
      <rPr>
        <sz val="12"/>
        <rFont val="Times New Roman"/>
        <family val="1"/>
      </rPr>
      <t xml:space="preserve"> has been scored!
Choose the damage type for this attack. Then, roll the basic damage for your weapon (B378) and enter it below, or use the spreadsheet to calculate it for you. Most successful attacks will do a minimum of 1 point of damage; crushing attacks </t>
    </r>
    <r>
      <rPr>
        <i/>
        <sz val="12"/>
        <rFont val="Times New Roman"/>
        <family val="1"/>
      </rPr>
      <t>can</t>
    </r>
    <r>
      <rPr>
        <sz val="12"/>
        <rFont val="Times New Roman"/>
        <family val="1"/>
      </rPr>
      <t xml:space="preserve"> do 0 damage.
If this attack does </t>
    </r>
    <r>
      <rPr>
        <i/>
        <sz val="12"/>
        <rFont val="Times New Roman"/>
        <family val="1"/>
      </rPr>
      <t>not</t>
    </r>
    <r>
      <rPr>
        <sz val="12"/>
        <rFont val="Times New Roman"/>
        <family val="1"/>
      </rPr>
      <t xml:space="preserve"> inflict Fatigue damage, go to </t>
    </r>
    <r>
      <rPr>
        <b/>
        <sz val="12"/>
        <rFont val="Times New Roman"/>
        <family val="1"/>
      </rPr>
      <t>[30]</t>
    </r>
    <r>
      <rPr>
        <sz val="12"/>
        <rFont val="Times New Roman"/>
        <family val="1"/>
      </rPr>
      <t>.</t>
    </r>
  </si>
  <si>
    <t>Target's FP/3:</t>
  </si>
  <si>
    <t>Target's -FP:</t>
  </si>
  <si>
    <t>Target's Will:</t>
  </si>
  <si>
    <t>[46]</t>
  </si>
  <si>
    <t>[47]</t>
  </si>
  <si>
    <r>
      <t xml:space="preserve">The target immediately falls unconscious - any further FP cost comes from HP instead. He will awaken when he again reaches positive FP (B427).
Go to </t>
    </r>
    <r>
      <rPr>
        <b/>
        <sz val="12"/>
        <rFont val="Times New Roman"/>
        <family val="1"/>
      </rPr>
      <t>[47]</t>
    </r>
    <r>
      <rPr>
        <sz val="12"/>
        <rFont val="Times New Roman"/>
        <family val="1"/>
      </rPr>
      <t>.</t>
    </r>
  </si>
  <si>
    <t>[48]</t>
  </si>
  <si>
    <r>
      <t xml:space="preserve">Roll on the appropriate Critical Miss Table (B556) and apply any immediate effects. If you dropped, broke, or disabled your weapon, go to </t>
    </r>
    <r>
      <rPr>
        <b/>
        <sz val="12"/>
        <rFont val="Times New Roman"/>
        <family val="1"/>
      </rPr>
      <t>[48]</t>
    </r>
    <r>
      <rPr>
        <sz val="12"/>
        <rFont val="Times New Roman"/>
        <family val="1"/>
      </rPr>
      <t>.</t>
    </r>
  </si>
  <si>
    <r>
      <t xml:space="preserve">Otherwise, go to </t>
    </r>
    <r>
      <rPr>
        <b/>
        <sz val="12"/>
        <rFont val="Times New Roman"/>
        <family val="1"/>
      </rPr>
      <t>[48]</t>
    </r>
    <r>
      <rPr>
        <sz val="12"/>
        <rFont val="Times New Roman"/>
        <family val="1"/>
      </rPr>
      <t>.</t>
    </r>
  </si>
  <si>
    <r>
      <t xml:space="preserve">If the skill roll is a (non-critical) successful Block or Parry, go to </t>
    </r>
    <r>
      <rPr>
        <b/>
        <sz val="12"/>
        <rFont val="Times New Roman"/>
        <family val="1"/>
      </rPr>
      <t>[48]</t>
    </r>
    <r>
      <rPr>
        <sz val="12"/>
        <rFont val="Times New Roman"/>
        <family val="1"/>
      </rPr>
      <t>.</t>
    </r>
  </si>
  <si>
    <r>
      <t xml:space="preserve">If this was a ranged attack with a thrown weapon, and the defender was making a bare-handed parry, the defender may choose to catch the incoming weapon with no harm to himself. Then, go to </t>
    </r>
    <r>
      <rPr>
        <b/>
        <sz val="12"/>
        <rFont val="Times New Roman"/>
        <family val="1"/>
      </rPr>
      <t>[48]</t>
    </r>
    <r>
      <rPr>
        <sz val="12"/>
        <rFont val="Times New Roman"/>
        <family val="1"/>
      </rPr>
      <t>.</t>
    </r>
  </si>
  <si>
    <r>
      <t xml:space="preserve">In all other cases, go to </t>
    </r>
    <r>
      <rPr>
        <b/>
        <sz val="12"/>
        <rFont val="Times New Roman"/>
        <family val="1"/>
      </rPr>
      <t>[48]</t>
    </r>
    <r>
      <rPr>
        <sz val="12"/>
        <rFont val="Times New Roman"/>
        <family val="1"/>
      </rPr>
      <t>.</t>
    </r>
  </si>
  <si>
    <t>[49]</t>
  </si>
  <si>
    <r>
      <t xml:space="preserve">In all other cases, go to </t>
    </r>
    <r>
      <rPr>
        <b/>
        <sz val="12"/>
        <rFont val="Times New Roman"/>
        <family val="1"/>
      </rPr>
      <t>[49]</t>
    </r>
    <r>
      <rPr>
        <sz val="12"/>
        <rFont val="Times New Roman"/>
        <family val="1"/>
      </rPr>
      <t>.</t>
    </r>
  </si>
  <si>
    <t>[50]</t>
  </si>
  <si>
    <r>
      <t xml:space="preserve">If the target's HP are still HP/3 or more, go to </t>
    </r>
    <r>
      <rPr>
        <b/>
        <sz val="12"/>
        <rFont val="Times New Roman"/>
        <family val="1"/>
      </rPr>
      <t>[50]</t>
    </r>
    <r>
      <rPr>
        <sz val="12"/>
        <rFont val="Times New Roman"/>
        <family val="1"/>
      </rPr>
      <t>.</t>
    </r>
  </si>
  <si>
    <r>
      <t xml:space="preserve">Enter the target's starting Fatigue Points below, then subtract the fatigue injury inflicted to determine the target's remaining FP.
If the target's FP are still FP/3 or more, go to </t>
    </r>
    <r>
      <rPr>
        <b/>
        <sz val="12"/>
        <rFont val="Times New Roman"/>
        <family val="1"/>
      </rPr>
      <t>[50]</t>
    </r>
    <r>
      <rPr>
        <sz val="12"/>
        <rFont val="Times New Roman"/>
        <family val="1"/>
      </rPr>
      <t>.</t>
    </r>
  </si>
  <si>
    <r>
      <t xml:space="preserve">The target is very tired - halve his Move, Dodge, and ST (round </t>
    </r>
    <r>
      <rPr>
        <i/>
        <sz val="12"/>
        <rFont val="Times New Roman"/>
        <family val="1"/>
      </rPr>
      <t>up</t>
    </r>
    <r>
      <rPr>
        <sz val="12"/>
        <rFont val="Times New Roman"/>
        <family val="1"/>
      </rPr>
      <t xml:space="preserve">). This does </t>
    </r>
    <r>
      <rPr>
        <i/>
        <sz val="12"/>
        <rFont val="Times New Roman"/>
        <family val="1"/>
      </rPr>
      <t>not</t>
    </r>
    <r>
      <rPr>
        <sz val="12"/>
        <rFont val="Times New Roman"/>
        <family val="1"/>
      </rPr>
      <t xml:space="preserve"> affect ST-based quantities, such as HP and damage.
Go to </t>
    </r>
    <r>
      <rPr>
        <b/>
        <sz val="12"/>
        <rFont val="Times New Roman"/>
        <family val="1"/>
      </rPr>
      <t>[50]</t>
    </r>
    <r>
      <rPr>
        <sz val="12"/>
        <rFont val="Times New Roman"/>
        <family val="1"/>
      </rPr>
      <t>.</t>
    </r>
  </si>
  <si>
    <t>[51]</t>
  </si>
  <si>
    <r>
      <t xml:space="preserve">The target is on the verge of collapse - halve his Move, Dodge, and ST (round </t>
    </r>
    <r>
      <rPr>
        <i/>
        <sz val="12"/>
        <rFont val="Times New Roman"/>
        <family val="1"/>
      </rPr>
      <t>up</t>
    </r>
    <r>
      <rPr>
        <sz val="12"/>
        <rFont val="Times New Roman"/>
        <family val="1"/>
      </rPr>
      <t xml:space="preserve">). This does </t>
    </r>
    <r>
      <rPr>
        <i/>
        <sz val="12"/>
        <rFont val="Times New Roman"/>
        <family val="1"/>
      </rPr>
      <t>not</t>
    </r>
    <r>
      <rPr>
        <sz val="12"/>
        <rFont val="Times New Roman"/>
        <family val="1"/>
      </rPr>
      <t xml:space="preserve"> affect ST-based quantities, such as HP and damage. If the target loses further fatigue, each 1 FP lost also causes 1 HP of injury. 
To do anything besides talk or rest, the target must make a Will roll; in combat, make this roll before any maneuver other than Do Nothing. Success means he can act normally; failure means he is incapacitated and can do nothing until he recovers positive FP. On a critical failure, the target must make an immediate HT roll to avoid a </t>
    </r>
    <r>
      <rPr>
        <i/>
        <sz val="12"/>
        <rFont val="Times New Roman"/>
        <family val="1"/>
      </rPr>
      <t>heart attack</t>
    </r>
    <r>
      <rPr>
        <sz val="12"/>
        <rFont val="Times New Roman"/>
        <family val="1"/>
      </rPr>
      <t xml:space="preserve"> (B429).
Go to </t>
    </r>
    <r>
      <rPr>
        <b/>
        <sz val="12"/>
        <rFont val="Times New Roman"/>
        <family val="1"/>
      </rPr>
      <t>[51]</t>
    </r>
    <r>
      <rPr>
        <sz val="12"/>
        <rFont val="Times New Roman"/>
        <family val="1"/>
      </rPr>
      <t>.</t>
    </r>
  </si>
  <si>
    <r>
      <t xml:space="preserve">If the target's HP are -5xHP or less, go to </t>
    </r>
    <r>
      <rPr>
        <b/>
        <sz val="12"/>
        <rFont val="Times New Roman"/>
        <family val="1"/>
      </rPr>
      <t>[52]</t>
    </r>
    <r>
      <rPr>
        <sz val="12"/>
        <rFont val="Times New Roman"/>
        <family val="1"/>
      </rPr>
      <t>.</t>
    </r>
  </si>
  <si>
    <t>[52]</t>
  </si>
  <si>
    <r>
      <t xml:space="preserve">If any HT roll to avoid dying fails by more than 2, go to </t>
    </r>
    <r>
      <rPr>
        <b/>
        <sz val="12"/>
        <rFont val="Times New Roman"/>
        <family val="1"/>
      </rPr>
      <t>[52]</t>
    </r>
    <r>
      <rPr>
        <sz val="12"/>
        <rFont val="Times New Roman"/>
        <family val="1"/>
      </rPr>
      <t>.</t>
    </r>
  </si>
  <si>
    <r>
      <t xml:space="preserve">If any HT roll to avoid dying fails by 1 or 2, go to </t>
    </r>
    <r>
      <rPr>
        <b/>
        <sz val="12"/>
        <rFont val="Times New Roman"/>
        <family val="1"/>
      </rPr>
      <t>[46]</t>
    </r>
    <r>
      <rPr>
        <sz val="12"/>
        <rFont val="Times New Roman"/>
        <family val="1"/>
      </rPr>
      <t>. (Mortal Wound)</t>
    </r>
  </si>
  <si>
    <t>[53]</t>
  </si>
  <si>
    <r>
      <t xml:space="preserve">Target is immediately incapacitated (may or may not be unconscious - GM decision), and suffering from a mortal wound. If the target receives any further injury and must make a HT roll to avoid death, </t>
    </r>
    <r>
      <rPr>
        <i/>
        <sz val="12"/>
        <rFont val="Times New Roman"/>
        <family val="1"/>
      </rPr>
      <t>any</t>
    </r>
    <r>
      <rPr>
        <sz val="12"/>
        <rFont val="Times New Roman"/>
        <family val="1"/>
      </rPr>
      <t xml:space="preserve"> failure kills him.
While mortally wounded, the target must make a HT roll every half-hour to avoid death. On any failure, he dies; on a success, he lingers for another half-hour, then rolls again; on a critical success, he pulls through miraculously and is no longer mortally wounded (but </t>
    </r>
    <r>
      <rPr>
        <i/>
        <sz val="12"/>
        <rFont val="Times New Roman"/>
        <family val="1"/>
      </rPr>
      <t>is</t>
    </r>
    <r>
      <rPr>
        <sz val="12"/>
        <rFont val="Times New Roman"/>
        <family val="1"/>
      </rPr>
      <t xml:space="preserve"> still incapacitated).
If the target recovers from a mortal wound, make a HT roll. On a failure, he loses 1 point of HT permanently; on a critical failure, the GM may apply the Wounded disadvantage (B162) or some other effect (such as reduced appearance due to scarring, etc.).
Go to </t>
    </r>
    <r>
      <rPr>
        <b/>
        <sz val="12"/>
        <rFont val="Times New Roman"/>
        <family val="1"/>
      </rPr>
      <t>[47]</t>
    </r>
    <r>
      <rPr>
        <sz val="12"/>
        <rFont val="Times New Roman"/>
        <family val="1"/>
      </rPr>
      <t>.</t>
    </r>
  </si>
  <si>
    <t>Number of HT rolls required to avoid dying:</t>
  </si>
  <si>
    <t>(1 for each threshold of -HP below 0 reached)</t>
  </si>
  <si>
    <r>
      <t xml:space="preserve">If the target's HP are 0 or less, but more than -HP, go to </t>
    </r>
    <r>
      <rPr>
        <b/>
        <sz val="12"/>
        <rFont val="Times New Roman"/>
        <family val="1"/>
      </rPr>
      <t>[40]</t>
    </r>
    <r>
      <rPr>
        <sz val="12"/>
        <rFont val="Times New Roman"/>
        <family val="1"/>
      </rPr>
      <t>.</t>
    </r>
  </si>
  <si>
    <r>
      <t xml:space="preserve">If you do not inflict damage, go to </t>
    </r>
    <r>
      <rPr>
        <b/>
        <sz val="12"/>
        <rFont val="Times New Roman"/>
        <family val="1"/>
      </rPr>
      <t>[54]</t>
    </r>
    <r>
      <rPr>
        <sz val="12"/>
        <rFont val="Times New Roman"/>
        <family val="1"/>
      </rPr>
      <t>.</t>
    </r>
  </si>
  <si>
    <r>
      <t xml:space="preserve">If the target's HP are -HP or less, but more than -5xHP, go to </t>
    </r>
    <r>
      <rPr>
        <b/>
        <sz val="12"/>
        <rFont val="Times New Roman"/>
        <family val="1"/>
      </rPr>
      <t>[41]</t>
    </r>
    <r>
      <rPr>
        <sz val="12"/>
        <rFont val="Times New Roman"/>
        <family val="1"/>
      </rPr>
      <t>.</t>
    </r>
  </si>
  <si>
    <t>[1]</t>
  </si>
  <si>
    <t>[2]</t>
  </si>
  <si>
    <t>[3]</t>
  </si>
  <si>
    <t>Unmodified weapon skill:</t>
  </si>
  <si>
    <t>[4]</t>
  </si>
  <si>
    <t>Attacker's Maneuver</t>
  </si>
  <si>
    <t>Attacker's Posture</t>
  </si>
  <si>
    <t>Right Arm</t>
  </si>
  <si>
    <t>Skull</t>
  </si>
  <si>
    <t>3-4</t>
  </si>
  <si>
    <t>Face</t>
  </si>
  <si>
    <t>6-7</t>
  </si>
  <si>
    <t>Right Leg</t>
  </si>
  <si>
    <t>choose</t>
  </si>
  <si>
    <t>8</t>
  </si>
  <si>
    <t>9-10</t>
  </si>
  <si>
    <t>Torso</t>
  </si>
  <si>
    <t>11</t>
  </si>
  <si>
    <t>Groin</t>
  </si>
  <si>
    <t>12</t>
  </si>
  <si>
    <t>Left Arm</t>
  </si>
  <si>
    <t>13-14</t>
  </si>
  <si>
    <t>Left Leg</t>
  </si>
  <si>
    <t>15</t>
  </si>
  <si>
    <t>Hand</t>
  </si>
  <si>
    <t>16</t>
  </si>
  <si>
    <t>Foot</t>
  </si>
  <si>
    <t>17-18</t>
  </si>
  <si>
    <t>Neck</t>
  </si>
  <si>
    <t>Effective Skill:</t>
  </si>
  <si>
    <t>[6]</t>
  </si>
  <si>
    <t>[5]</t>
  </si>
  <si>
    <t>Eye</t>
  </si>
  <si>
    <t>Vitals</t>
  </si>
  <si>
    <t>[12]</t>
  </si>
  <si>
    <t>[7]</t>
  </si>
  <si>
    <t>Target's Size Modifier:</t>
  </si>
  <si>
    <t>[8]</t>
  </si>
  <si>
    <t>Location</t>
  </si>
  <si>
    <t>Roll (3d6)</t>
  </si>
  <si>
    <t>Modifier</t>
  </si>
  <si>
    <t>[9]</t>
  </si>
  <si>
    <t>Speed/Range</t>
  </si>
  <si>
    <t>Rapid Fire</t>
  </si>
  <si>
    <t>All-Out Attack (Determined)</t>
  </si>
  <si>
    <t>Move and Attack</t>
  </si>
  <si>
    <t>Attacker's Situation</t>
  </si>
  <si>
    <t>Affliction</t>
  </si>
  <si>
    <t>Coughing or sneezing</t>
  </si>
  <si>
    <t>Drowsy</t>
  </si>
  <si>
    <t>Drunk</t>
  </si>
  <si>
    <t>Euphoria</t>
  </si>
  <si>
    <t>Nauseated</t>
  </si>
  <si>
    <t>Pain, Moderate</t>
  </si>
  <si>
    <t>Pain, Severe</t>
  </si>
  <si>
    <t>Pain, Terrible</t>
  </si>
  <si>
    <t>Tipsy</t>
  </si>
  <si>
    <t>Bad Footing</t>
  </si>
  <si>
    <t>Close combat</t>
  </si>
  <si>
    <t>Damaged weapon</t>
  </si>
  <si>
    <t>Major distraction</t>
  </si>
  <si>
    <t>Minor distraction</t>
  </si>
  <si>
    <t>Shock</t>
  </si>
  <si>
    <t>ST below that required for weapon</t>
  </si>
  <si>
    <t>Air vehicle</t>
  </si>
  <si>
    <t>Non-handheld weapons</t>
  </si>
  <si>
    <t>Handheld weapon</t>
  </si>
  <si>
    <t>Ground vehicle - good road</t>
  </si>
  <si>
    <t>Ground vehicle - bad road</t>
  </si>
  <si>
    <t>Stabilized turret or stabilized open mount</t>
  </si>
  <si>
    <t>Fixed mount, hardpoint, or carriage</t>
  </si>
  <si>
    <t>External open mount</t>
  </si>
  <si>
    <t>Ground vehicle - off-road</t>
  </si>
  <si>
    <t>Space vehicle</t>
  </si>
  <si>
    <t>Water vehicle - calm water</t>
  </si>
  <si>
    <t>Water vehicle - rough water</t>
  </si>
  <si>
    <t>Exposed rider hanging on side and shooting over/under</t>
  </si>
  <si>
    <t>Turning in exposed saddle/seat to fire at foe behind</t>
  </si>
  <si>
    <t>Vehicle/mount failed control roll</t>
  </si>
  <si>
    <t>Opportunity Fire</t>
  </si>
  <si>
    <t>Checking target before firing</t>
  </si>
  <si>
    <t>Hexes watched</t>
  </si>
  <si>
    <t>1 hex</t>
  </si>
  <si>
    <t>2 hexes</t>
  </si>
  <si>
    <t>3-4 hexes, or a line</t>
  </si>
  <si>
    <t>5-6 hexes</t>
  </si>
  <si>
    <t>7-10 hexes</t>
  </si>
  <si>
    <t>11+ hexes</t>
  </si>
  <si>
    <t>Other Actions by Attacker</t>
  </si>
  <si>
    <t>Aim for one turn</t>
  </si>
  <si>
    <t>Braced weapon</t>
  </si>
  <si>
    <t>Dual-Weapon Attack</t>
  </si>
  <si>
    <t>Off-hand attack (no Ambidexterity)</t>
  </si>
  <si>
    <t>Pop-up attack</t>
  </si>
  <si>
    <t>2-4 shots</t>
  </si>
  <si>
    <t>5-8 shots</t>
  </si>
  <si>
    <t>9-12 shots</t>
  </si>
  <si>
    <t>13-16 shots</t>
  </si>
  <si>
    <t>17-24 shots</t>
  </si>
  <si>
    <t>25-49 shots</t>
  </si>
  <si>
    <t>50-99 shots</t>
  </si>
  <si>
    <t>100-199 shots</t>
  </si>
  <si>
    <t>Shooting through light cover</t>
  </si>
  <si>
    <t>Target is behind someone else</t>
  </si>
  <si>
    <t>Target is crouching, kneeling, sitting, or lying down</t>
  </si>
  <si>
    <t>Target is only partly exposed</t>
  </si>
  <si>
    <t>Laser sight</t>
  </si>
  <si>
    <t>Scope</t>
  </si>
  <si>
    <t>Vehicular targeting system</t>
  </si>
  <si>
    <t>Unfamiliar weapon or targeting system</t>
  </si>
  <si>
    <t>Partial darkness, fog, smoke, etc.</t>
  </si>
  <si>
    <t>Target has light concealment (e.g., bushes)</t>
  </si>
  <si>
    <t>Target's Range and Speed</t>
  </si>
  <si>
    <t>Size</t>
  </si>
  <si>
    <t>Linear Measurement</t>
  </si>
  <si>
    <t>1/5"</t>
  </si>
  <si>
    <t>etc.</t>
  </si>
  <si>
    <t>1/3"</t>
  </si>
  <si>
    <t>1/2"</t>
  </si>
  <si>
    <t>2/3"</t>
  </si>
  <si>
    <t>1"</t>
  </si>
  <si>
    <t>1.5"</t>
  </si>
  <si>
    <t>2"</t>
  </si>
  <si>
    <t>3"</t>
  </si>
  <si>
    <t>5"</t>
  </si>
  <si>
    <t>8"</t>
  </si>
  <si>
    <t>1 ft</t>
  </si>
  <si>
    <t>1.5 ft</t>
  </si>
  <si>
    <t>2 ft</t>
  </si>
  <si>
    <t>1 yd</t>
  </si>
  <si>
    <t>1.5 yd</t>
  </si>
  <si>
    <t>2 yd</t>
  </si>
  <si>
    <t>3 yd</t>
  </si>
  <si>
    <t>5 yd</t>
  </si>
  <si>
    <t>7 yd</t>
  </si>
  <si>
    <t>10 yd</t>
  </si>
  <si>
    <t>15 yd</t>
  </si>
  <si>
    <t>20 yd</t>
  </si>
  <si>
    <t>30 yd</t>
  </si>
  <si>
    <t>50 yd</t>
  </si>
  <si>
    <t>70 yd</t>
  </si>
  <si>
    <t>100 yd</t>
  </si>
  <si>
    <t>150 yd</t>
  </si>
  <si>
    <t>200 yd</t>
  </si>
  <si>
    <t>300 yd</t>
  </si>
  <si>
    <t>500 yd</t>
  </si>
  <si>
    <t>700 yd</t>
  </si>
  <si>
    <t>1,000 yd</t>
  </si>
  <si>
    <t>1,500 yd</t>
  </si>
  <si>
    <t>2,000 yd (1 mile)</t>
  </si>
  <si>
    <t>3,000 yd</t>
  </si>
  <si>
    <t>5,000 yd (2.5 miles)</t>
  </si>
  <si>
    <t>7,000 yd</t>
  </si>
  <si>
    <t>10,000 yd (5 miles)</t>
  </si>
  <si>
    <t>15,000 yd</t>
  </si>
  <si>
    <t>20,000 yd (10 miles)</t>
  </si>
  <si>
    <t>30,000 yd</t>
  </si>
  <si>
    <t>50,000 yd (25 miles)</t>
  </si>
  <si>
    <t>70,000 yd</t>
  </si>
  <si>
    <t>100,000 yd (50 miles)</t>
  </si>
  <si>
    <t>150,000 yd</t>
  </si>
  <si>
    <t>200,000 yd (100 miles)</t>
  </si>
  <si>
    <t>Size Modifier is based on a target's longest dimension - if size falls between two values, use the next-highest size. Box-, sphere-, or blob-shaped objects add +2 to SM; elongated boxes, like most ground vehicles, add +1. (B550)</t>
  </si>
  <si>
    <t>If speed is not a factor, simply look up range in yards in the "Linear Measurement" column, and then read across to the "Speed/Range" column to find the speed/range modifier. If the range falls between two values, use the higher.</t>
  </si>
  <si>
    <t>If speed is a factor, add speed in yards/second (2 mph = 1 yard/second) to range before looking it up in the "Linear Measurement" column.</t>
  </si>
  <si>
    <t>(100 mph)</t>
  </si>
  <si>
    <t>(20 mph)</t>
  </si>
  <si>
    <t>Note that there is no modifier at ranges of 2 yards or less. (B550)</t>
  </si>
  <si>
    <t>(imp or piercing only)</t>
  </si>
  <si>
    <t>Small (S) Weapon</t>
  </si>
  <si>
    <t>Medium (M) Weapon</t>
  </si>
  <si>
    <t>Large (L) Weapon</t>
  </si>
  <si>
    <t>[11]</t>
  </si>
  <si>
    <t>[10]</t>
  </si>
  <si>
    <t>Vehicle/mount dodged last turn and you're not the operator (non-flying)</t>
  </si>
  <si>
    <t>Vehicle/mount dodged last turn and you're not the operator (flying)</t>
  </si>
  <si>
    <t>Roll 3d6 manually to determine hit location, and check the appropriate box below:</t>
  </si>
  <si>
    <t>Other Actions by the Attacker</t>
  </si>
  <si>
    <t>Target's Position</t>
  </si>
  <si>
    <t>[13]</t>
  </si>
  <si>
    <t>[14]</t>
  </si>
  <si>
    <t>Pop-Up Attack</t>
  </si>
  <si>
    <t>Aiming</t>
  </si>
  <si>
    <t>Targeting</t>
  </si>
  <si>
    <t>[15]</t>
  </si>
  <si>
    <t>Base Skill</t>
  </si>
  <si>
    <t>Target's Size Modifier</t>
  </si>
  <si>
    <t>Target's Speed/Range</t>
  </si>
  <si>
    <t>Hit Location</t>
  </si>
  <si>
    <t>Attacker's Maneuver and Situation</t>
  </si>
  <si>
    <t>Moving Vehicle or Mount</t>
  </si>
  <si>
    <t>Other Actions by the Attacker, Target's Position, Visibility</t>
  </si>
  <si>
    <t>Opportunity Fire, Pop-Up Attack</t>
  </si>
  <si>
    <t>Aiming and Targeting</t>
  </si>
  <si>
    <t>[16]</t>
  </si>
  <si>
    <t>Crawling or lying down</t>
  </si>
  <si>
    <t>Crouching, kneeling, or sitting</t>
  </si>
  <si>
    <t>Grappled</t>
  </si>
  <si>
    <t>Holding a large shield</t>
  </si>
  <si>
    <t>Mounted, and mount attacked on its last turn</t>
  </si>
  <si>
    <t>Mounted, and mount's velocity relative to target is 7+</t>
  </si>
  <si>
    <t>Deceptive Attack</t>
  </si>
  <si>
    <t>Rapid Strike</t>
  </si>
  <si>
    <t>Striking into close combat</t>
  </si>
  <si>
    <t>Attempt to disarm without a fencing weapon</t>
  </si>
  <si>
    <t>Faq</t>
  </si>
  <si>
    <t>When two opponents face each other in melee combat, apply the difference in size modifiers as a bonus to the smallest attacker and as a penalty to the biggest. However, the bonus to a small opponent is limited to +4; attacking a wall ten times as big as you is no easier than hitting a wall four times as big – your reach limits where you can hit (from the GURPS Faq, below).</t>
  </si>
  <si>
    <t>Attacker's Size Modifier:</t>
  </si>
  <si>
    <t>Skill Modifier:</t>
  </si>
  <si>
    <t>Visibility (max. -10)</t>
  </si>
  <si>
    <t>[17]</t>
  </si>
  <si>
    <t>Wearing a shield in close combat</t>
  </si>
  <si>
    <t>[18]</t>
  </si>
  <si>
    <t>Blind, target completely invisible, or in total darkness *</t>
  </si>
  <si>
    <t>* Adjusted skill after all modifiers cannot exceed 9</t>
  </si>
  <si>
    <t>Cannot see foe *</t>
  </si>
  <si>
    <t>Cannot see foe (if you know his location to within 1 yard) *</t>
  </si>
  <si>
    <t>Move and Attack *</t>
  </si>
  <si>
    <t>Cannot see anything (not used to blindness) *</t>
  </si>
  <si>
    <t>Cannot see anything (used to blindness) *</t>
  </si>
  <si>
    <t>[19]</t>
  </si>
  <si>
    <t>Rapid Strike (w/ Trained by a Master or Weapon Master)</t>
  </si>
  <si>
    <t>Wild Swing *</t>
  </si>
  <si>
    <t>[20]</t>
  </si>
  <si>
    <t>Evaluate … for one turn</t>
  </si>
  <si>
    <t>Off-hand Attack (no Ambidexterity)</t>
  </si>
  <si>
    <t>OR … for two turns</t>
  </si>
  <si>
    <t>OR … for three turns (max.)</t>
  </si>
  <si>
    <t>Difference in Size Modifiers</t>
  </si>
  <si>
    <t>Attacker's Maneuver, Attacker's Posture, and Visibility</t>
  </si>
  <si>
    <t>[21]</t>
  </si>
  <si>
    <t>Roll 3d6 manually and enter the result here:</t>
  </si>
  <si>
    <t>3, 4</t>
  </si>
  <si>
    <t>&gt; 10</t>
  </si>
  <si>
    <t>[22]</t>
  </si>
  <si>
    <t>[23]</t>
  </si>
  <si>
    <t>[24]</t>
  </si>
  <si>
    <t>[25]</t>
  </si>
  <si>
    <t>Enter the Recoil (Rcl) value of the weapon you are using:</t>
  </si>
  <si>
    <t>Results</t>
  </si>
  <si>
    <r>
      <t xml:space="preserve">Roll against your Effective Skill to hit. If you roll a (non-critical) success, or miss by 1 to a hit location with a 'Miss by 1' value, go immediately to </t>
    </r>
    <r>
      <rPr>
        <b/>
        <sz val="12"/>
        <rFont val="Times New Roman"/>
        <family val="1"/>
      </rPr>
      <t>[25]</t>
    </r>
    <r>
      <rPr>
        <sz val="12"/>
        <rFont val="Times New Roman"/>
        <family val="1"/>
      </rPr>
      <t>.</t>
    </r>
  </si>
  <si>
    <r>
      <t xml:space="preserve">If the skill roll is a critical success, go to </t>
    </r>
    <r>
      <rPr>
        <b/>
        <sz val="12"/>
        <rFont val="Times New Roman"/>
        <family val="1"/>
      </rPr>
      <t>[24]</t>
    </r>
    <r>
      <rPr>
        <sz val="12"/>
        <rFont val="Times New Roman"/>
        <family val="1"/>
      </rPr>
      <t>.</t>
    </r>
  </si>
  <si>
    <r>
      <t xml:space="preserve">If the skill roll is a (non-critical) failure, go to </t>
    </r>
    <r>
      <rPr>
        <b/>
        <sz val="12"/>
        <rFont val="Times New Roman"/>
        <family val="1"/>
      </rPr>
      <t>[23]</t>
    </r>
    <r>
      <rPr>
        <sz val="12"/>
        <rFont val="Times New Roman"/>
        <family val="1"/>
      </rPr>
      <t>.</t>
    </r>
  </si>
  <si>
    <r>
      <t xml:space="preserve">If the skill roll is a critical failure, go to </t>
    </r>
    <r>
      <rPr>
        <b/>
        <sz val="12"/>
        <rFont val="Times New Roman"/>
        <family val="1"/>
      </rPr>
      <t>[22]</t>
    </r>
    <r>
      <rPr>
        <sz val="12"/>
        <rFont val="Times New Roman"/>
        <family val="1"/>
      </rPr>
      <t>.</t>
    </r>
  </si>
  <si>
    <r>
      <t xml:space="preserve">Start by entering the unmodified weapon skill below, then go to </t>
    </r>
    <r>
      <rPr>
        <b/>
        <sz val="12"/>
        <rFont val="Times New Roman"/>
        <family val="1"/>
      </rPr>
      <t>[2]</t>
    </r>
    <r>
      <rPr>
        <sz val="12"/>
        <rFont val="Times New Roman"/>
        <family val="1"/>
      </rPr>
      <t>.</t>
    </r>
  </si>
  <si>
    <r>
      <t xml:space="preserve">If the attack is a Wild Swing or completely unaimed (B398), or the attacker wants to determine hit location randomly, go to </t>
    </r>
    <r>
      <rPr>
        <b/>
        <sz val="12"/>
        <rFont val="Times New Roman"/>
        <family val="1"/>
      </rPr>
      <t>[3]</t>
    </r>
    <r>
      <rPr>
        <sz val="12"/>
        <rFont val="Times New Roman"/>
        <family val="1"/>
      </rPr>
      <t>.</t>
    </r>
  </si>
  <si>
    <r>
      <t xml:space="preserve">Otherwise, go to </t>
    </r>
    <r>
      <rPr>
        <b/>
        <sz val="12"/>
        <rFont val="Times New Roman"/>
        <family val="1"/>
      </rPr>
      <t>[4]</t>
    </r>
    <r>
      <rPr>
        <sz val="12"/>
        <rFont val="Times New Roman"/>
        <family val="1"/>
      </rPr>
      <t>.</t>
    </r>
  </si>
  <si>
    <r>
      <t xml:space="preserve">Roll for hit location (B552); do not apply modifiers to skill. Go to </t>
    </r>
    <r>
      <rPr>
        <b/>
        <sz val="12"/>
        <rFont val="Times New Roman"/>
        <family val="1"/>
      </rPr>
      <t>[6]</t>
    </r>
    <r>
      <rPr>
        <sz val="12"/>
        <rFont val="Times New Roman"/>
        <family val="1"/>
      </rPr>
      <t>.</t>
    </r>
  </si>
  <si>
    <r>
      <t xml:space="preserve">Does the attack inflict Fatigue damage, come from a melee attacker whose Size Modifier exceeds that of his target by 7 or more, come from an attack described as "cone" or "area effect", or an external explosion or other Large Area Attack (B400)?  If so, go to </t>
    </r>
    <r>
      <rPr>
        <b/>
        <sz val="12"/>
        <rFont val="Times New Roman"/>
        <family val="1"/>
      </rPr>
      <t>[6]</t>
    </r>
    <r>
      <rPr>
        <sz val="12"/>
        <rFont val="Times New Roman"/>
        <family val="1"/>
      </rPr>
      <t>.</t>
    </r>
  </si>
  <si>
    <r>
      <t xml:space="preserve">Otherwise, go to </t>
    </r>
    <r>
      <rPr>
        <b/>
        <sz val="12"/>
        <rFont val="Times New Roman"/>
        <family val="1"/>
      </rPr>
      <t>[5]</t>
    </r>
    <r>
      <rPr>
        <sz val="12"/>
        <rFont val="Times New Roman"/>
        <family val="1"/>
      </rPr>
      <t>.</t>
    </r>
  </si>
  <si>
    <r>
      <t xml:space="preserve">Apply modifiers for hit location (B398) by checking one location below. If unspecified, assume the attacker is trying to hit the Torso, which has a modifier of 0.  Go to </t>
    </r>
    <r>
      <rPr>
        <b/>
        <sz val="12"/>
        <rFont val="Times New Roman"/>
        <family val="1"/>
      </rPr>
      <t>[6]</t>
    </r>
    <r>
      <rPr>
        <sz val="12"/>
        <rFont val="Times New Roman"/>
        <family val="1"/>
      </rPr>
      <t>.</t>
    </r>
  </si>
  <si>
    <r>
      <t xml:space="preserve">Apply the target's Size Modifier (B19), then go to </t>
    </r>
    <r>
      <rPr>
        <b/>
        <sz val="12"/>
        <rFont val="Times New Roman"/>
        <family val="1"/>
      </rPr>
      <t>[8]</t>
    </r>
    <r>
      <rPr>
        <sz val="12"/>
        <rFont val="Times New Roman"/>
        <family val="1"/>
      </rPr>
      <t>.</t>
    </r>
  </si>
  <si>
    <r>
      <t xml:space="preserve">Modify for the target's range and speed, then go to </t>
    </r>
    <r>
      <rPr>
        <b/>
        <sz val="12"/>
        <rFont val="Times New Roman"/>
        <family val="1"/>
      </rPr>
      <t>[9]</t>
    </r>
    <r>
      <rPr>
        <sz val="12"/>
        <rFont val="Times New Roman"/>
        <family val="1"/>
      </rPr>
      <t>.</t>
    </r>
  </si>
  <si>
    <r>
      <t xml:space="preserve">Modify for the attacker's maneuver and situation by selecting all appropriate checkboxes below. Then, if this attack is from a moving vehicle or mount, go to </t>
    </r>
    <r>
      <rPr>
        <b/>
        <sz val="12"/>
        <rFont val="Times New Roman"/>
        <family val="1"/>
      </rPr>
      <t>[10]</t>
    </r>
    <r>
      <rPr>
        <sz val="12"/>
        <rFont val="Times New Roman"/>
        <family val="1"/>
      </rPr>
      <t>.</t>
    </r>
  </si>
  <si>
    <r>
      <t xml:space="preserve">Otherwise, go to </t>
    </r>
    <r>
      <rPr>
        <b/>
        <sz val="12"/>
        <rFont val="Times New Roman"/>
        <family val="1"/>
      </rPr>
      <t>[11]</t>
    </r>
    <r>
      <rPr>
        <sz val="12"/>
        <rFont val="Times New Roman"/>
        <family val="1"/>
      </rPr>
      <t>.</t>
    </r>
  </si>
  <si>
    <r>
      <t xml:space="preserve">Select all applicable modifiers below for attacking from a moving vehicle or mount. Note that if a weapon is not in a stabilized mount, the combined bonus for Accuracy, Aim, bracing, and targeting systems cannot exceed the vehicle's SR. Go to </t>
    </r>
    <r>
      <rPr>
        <b/>
        <sz val="12"/>
        <rFont val="Times New Roman"/>
        <family val="1"/>
      </rPr>
      <t>[11]</t>
    </r>
    <r>
      <rPr>
        <sz val="12"/>
        <rFont val="Times New Roman"/>
        <family val="1"/>
      </rPr>
      <t>.</t>
    </r>
  </si>
  <si>
    <r>
      <t xml:space="preserve">Otherwise, go to </t>
    </r>
    <r>
      <rPr>
        <b/>
        <sz val="12"/>
        <rFont val="Times New Roman"/>
        <family val="1"/>
      </rPr>
      <t>[13]</t>
    </r>
    <r>
      <rPr>
        <sz val="12"/>
        <rFont val="Times New Roman"/>
        <family val="1"/>
      </rPr>
      <t>.</t>
    </r>
  </si>
  <si>
    <r>
      <t xml:space="preserve">Apply the appropriate Rapid Fire modifier below, then go to </t>
    </r>
    <r>
      <rPr>
        <b/>
        <sz val="12"/>
        <rFont val="Times New Roman"/>
        <family val="1"/>
      </rPr>
      <t>[13]</t>
    </r>
    <r>
      <rPr>
        <sz val="12"/>
        <rFont val="Times New Roman"/>
        <family val="1"/>
      </rPr>
      <t>.</t>
    </r>
  </si>
  <si>
    <r>
      <t xml:space="preserve">If this attack is Opportunity Fire taken while watching more than one hex or if it is a Pop-Up Attack (B390), apply the appropriate penalty and go to </t>
    </r>
    <r>
      <rPr>
        <b/>
        <sz val="12"/>
        <rFont val="Times New Roman"/>
        <family val="1"/>
      </rPr>
      <t>[15]</t>
    </r>
    <r>
      <rPr>
        <sz val="12"/>
        <rFont val="Times New Roman"/>
        <family val="1"/>
      </rPr>
      <t>.</t>
    </r>
  </si>
  <si>
    <r>
      <t xml:space="preserve">Otherwise, go to </t>
    </r>
    <r>
      <rPr>
        <b/>
        <sz val="12"/>
        <rFont val="Times New Roman"/>
        <family val="1"/>
      </rPr>
      <t>[14]</t>
    </r>
    <r>
      <rPr>
        <sz val="12"/>
        <rFont val="Times New Roman"/>
        <family val="1"/>
      </rPr>
      <t>.</t>
    </r>
  </si>
  <si>
    <r>
      <t xml:space="preserve">Apply the modifiers below for aiming and targeting. Go to </t>
    </r>
    <r>
      <rPr>
        <b/>
        <sz val="12"/>
        <rFont val="Times New Roman"/>
        <family val="1"/>
      </rPr>
      <t>[15]</t>
    </r>
    <r>
      <rPr>
        <sz val="12"/>
        <rFont val="Times New Roman"/>
        <family val="1"/>
      </rPr>
      <t>.</t>
    </r>
  </si>
  <si>
    <r>
      <t xml:space="preserve">Effective Skill for this Ranged Attack has been calculated, see below for a summary of modifiers. Go to </t>
    </r>
    <r>
      <rPr>
        <b/>
        <sz val="12"/>
        <rFont val="Times New Roman"/>
        <family val="1"/>
      </rPr>
      <t>[21]</t>
    </r>
    <r>
      <rPr>
        <sz val="12"/>
        <rFont val="Times New Roman"/>
        <family val="1"/>
      </rPr>
      <t>.</t>
    </r>
  </si>
  <si>
    <r>
      <t xml:space="preserve">Apply the difference in Size Modifiers (B19), to a maximum of +4 to the smaller opponent, then go to </t>
    </r>
    <r>
      <rPr>
        <b/>
        <sz val="12"/>
        <rFont val="Times New Roman"/>
        <family val="1"/>
      </rPr>
      <t>[17]</t>
    </r>
    <r>
      <rPr>
        <sz val="12"/>
        <rFont val="Times New Roman"/>
        <family val="1"/>
      </rPr>
      <t>.</t>
    </r>
  </si>
  <si>
    <r>
      <t xml:space="preserve">Modify for the attacker's maneuver, attacker's posture, and visibility by selecting all appropriate checkboxes below. Then, go to </t>
    </r>
    <r>
      <rPr>
        <b/>
        <sz val="12"/>
        <rFont val="Times New Roman"/>
        <family val="1"/>
      </rPr>
      <t>[18]</t>
    </r>
    <r>
      <rPr>
        <sz val="12"/>
        <rFont val="Times New Roman"/>
        <family val="1"/>
      </rPr>
      <t>.</t>
    </r>
  </si>
  <si>
    <r>
      <t xml:space="preserve">Modify for the attacker's situation by selecting all appropriate checkboxes below. Then, go to </t>
    </r>
    <r>
      <rPr>
        <b/>
        <sz val="12"/>
        <rFont val="Times New Roman"/>
        <family val="1"/>
      </rPr>
      <t>[19]</t>
    </r>
    <r>
      <rPr>
        <sz val="12"/>
        <rFont val="Times New Roman"/>
        <family val="1"/>
      </rPr>
      <t>.</t>
    </r>
  </si>
  <si>
    <r>
      <t xml:space="preserve">Modify for other actions by the attacker by selecting all appropriate checkboxes below. Then, go to </t>
    </r>
    <r>
      <rPr>
        <b/>
        <sz val="12"/>
        <rFont val="Times New Roman"/>
        <family val="1"/>
      </rPr>
      <t>[20]</t>
    </r>
    <r>
      <rPr>
        <sz val="12"/>
        <rFont val="Times New Roman"/>
        <family val="1"/>
      </rPr>
      <t>.</t>
    </r>
  </si>
  <si>
    <t>Skill Roll:</t>
  </si>
  <si>
    <r>
      <t xml:space="preserve">If you hit yourself, you are now the target of your attack; go to </t>
    </r>
    <r>
      <rPr>
        <b/>
        <sz val="12"/>
        <rFont val="Times New Roman"/>
        <family val="1"/>
      </rPr>
      <t>[29]</t>
    </r>
    <r>
      <rPr>
        <sz val="12"/>
        <rFont val="Times New Roman"/>
        <family val="1"/>
      </rPr>
      <t xml:space="preserve"> and assess the damage.</t>
    </r>
  </si>
  <si>
    <r>
      <t xml:space="preserve">Otherwise, go to </t>
    </r>
    <r>
      <rPr>
        <b/>
        <sz val="12"/>
        <rFont val="Times New Roman"/>
        <family val="1"/>
      </rPr>
      <t>[23]</t>
    </r>
    <r>
      <rPr>
        <sz val="12"/>
        <rFont val="Times New Roman"/>
        <family val="1"/>
      </rPr>
      <t>.</t>
    </r>
  </si>
  <si>
    <r>
      <t xml:space="preserve">If this attack is with a missile weapon, or any attack aimed into a close combat, check to see if you have hit the wrong target. Start with the target nearest to you on a miss with a missile (B389), or with a random target if striking into a close combat (B392). Return to </t>
    </r>
    <r>
      <rPr>
        <b/>
        <sz val="12"/>
        <rFont val="Times New Roman"/>
        <family val="1"/>
      </rPr>
      <t>[1]</t>
    </r>
    <r>
      <rPr>
        <sz val="12"/>
        <rFont val="Times New Roman"/>
        <family val="1"/>
      </rPr>
      <t xml:space="preserve"> and attack your new target - </t>
    </r>
    <r>
      <rPr>
        <b/>
        <sz val="12"/>
        <rFont val="Times New Roman"/>
        <family val="1"/>
      </rPr>
      <t>your final modified skill cannot exceed 9</t>
    </r>
    <r>
      <rPr>
        <sz val="12"/>
        <rFont val="Times New Roman"/>
        <family val="1"/>
      </rPr>
      <t>.</t>
    </r>
  </si>
  <si>
    <t>Dodge</t>
  </si>
  <si>
    <t>Block</t>
  </si>
  <si>
    <t>Parry</t>
  </si>
  <si>
    <t>Defender's Equipment</t>
  </si>
  <si>
    <t>Shield or cloak (except vs. firearms)</t>
  </si>
  <si>
    <t>Defender's Maneuver</t>
  </si>
  <si>
    <t>All-Out Defense (Increased Defense)</t>
  </si>
  <si>
    <t>Defender's Posture</t>
  </si>
  <si>
    <t>Kneeling or sitting</t>
  </si>
  <si>
    <t>Defender's Situation</t>
  </si>
  <si>
    <t>Affliction (Incapacitating Conditions only)</t>
  </si>
  <si>
    <t>Bad footing</t>
  </si>
  <si>
    <t>Can't see attacker</t>
  </si>
  <si>
    <t>Distraction (e.g., clothes on fire)</t>
  </si>
  <si>
    <t>Mounted</t>
  </si>
  <si>
    <t>Relative elevation</t>
  </si>
  <si>
    <t>Stunned</t>
  </si>
  <si>
    <t>Nature of Attack</t>
  </si>
  <si>
    <t>Attack from behind (w/ Peripheral Vision)</t>
  </si>
  <si>
    <t>Attack from side or "runaround" attack</t>
  </si>
  <si>
    <t>Dual-Weapon Attack (both strike same target)</t>
  </si>
  <si>
    <t>Encumbered (Dodge, Parry)</t>
  </si>
  <si>
    <t>Attacker used laser sight (Dodge)</t>
  </si>
  <si>
    <t>Flail (Parry)</t>
  </si>
  <si>
    <t>Flail (Block)</t>
  </si>
  <si>
    <t>Nunchaku (Parry)</t>
  </si>
  <si>
    <t>Nunchaku (Block)</t>
  </si>
  <si>
    <t>Successful Feint</t>
  </si>
  <si>
    <t>Thrown weapon (Parry)</t>
  </si>
  <si>
    <t>Thrown weapon, small (1 lb. or less) (Parry)</t>
  </si>
  <si>
    <t>Other Actions by Defender</t>
  </si>
  <si>
    <t>Acrobatic Dodge, Acrobatics roll succeeds (Dodge)</t>
  </si>
  <si>
    <t>Acrobatic Dodge, Acrobatics roll fails (Dodge)</t>
  </si>
  <si>
    <t>Dodge and Drop vs. ranged attack (Dodge)</t>
  </si>
  <si>
    <t>Feverish Defense (costs 1 FP)</t>
  </si>
  <si>
    <t>Multiple parries (Parry)</t>
  </si>
  <si>
    <t>Retreat (Dodge)</t>
  </si>
  <si>
    <t>Retreat (Block)</t>
  </si>
  <si>
    <t>Retreat - Boxing, Judo, Karate, or fencing weapon (Parry)</t>
  </si>
  <si>
    <t>Retreat - all others (Parry)</t>
  </si>
  <si>
    <r>
      <t xml:space="preserve">Effective Skill for this Melee Attack has been calculated, see below for a summary of modifiers. Then, go to </t>
    </r>
    <r>
      <rPr>
        <b/>
        <sz val="12"/>
        <rFont val="Times New Roman"/>
        <family val="1"/>
      </rPr>
      <t>[21]</t>
    </r>
    <r>
      <rPr>
        <sz val="12"/>
        <rFont val="Times New Roman"/>
        <family val="1"/>
      </rPr>
      <t>.</t>
    </r>
  </si>
  <si>
    <r>
      <t xml:space="preserve">If the target was aware of this attack, he may now choose to either Dodge, Block, or Parry (depending on the type of attack). Enter the target's chosen Active Defense below (line 3, in purple), and select all applicable modifers from the list. Then, go to </t>
    </r>
    <r>
      <rPr>
        <b/>
        <sz val="12"/>
        <rFont val="Times New Roman"/>
        <family val="1"/>
      </rPr>
      <t>[26]</t>
    </r>
    <r>
      <rPr>
        <sz val="12"/>
        <rFont val="Times New Roman"/>
        <family val="1"/>
      </rPr>
      <t>.</t>
    </r>
  </si>
  <si>
    <t>Off-hand parry, without Ambidexterity (Parry)</t>
  </si>
  <si>
    <t>Parrying with dagger or knife (Parry)</t>
  </si>
  <si>
    <t>Parrying with kusari or whip (Parry)</t>
  </si>
  <si>
    <t>Parrying with quarterstaff (Parry)</t>
  </si>
  <si>
    <t>Unarmed parry vs. weapon (except thrust attacks) (Parry)</t>
  </si>
  <si>
    <t>[26]</t>
  </si>
  <si>
    <t>3,4</t>
  </si>
  <si>
    <t>[27]</t>
  </si>
  <si>
    <r>
      <t xml:space="preserve">If this was a melee attack, the </t>
    </r>
    <r>
      <rPr>
        <i/>
        <sz val="12"/>
        <rFont val="Times New Roman"/>
        <family val="1"/>
      </rPr>
      <t>attacker</t>
    </r>
    <r>
      <rPr>
        <sz val="12"/>
        <rFont val="Times New Roman"/>
        <family val="1"/>
      </rPr>
      <t xml:space="preserve"> must roll on the appropriate Critical Miss table - the defender has "faked him out", knocked his weapon from his hand, or otherwise defended very well. Go to </t>
    </r>
    <r>
      <rPr>
        <b/>
        <sz val="12"/>
        <rFont val="Times New Roman"/>
        <family val="1"/>
      </rPr>
      <t>[22]</t>
    </r>
    <r>
      <rPr>
        <sz val="12"/>
        <rFont val="Times New Roman"/>
        <family val="1"/>
      </rPr>
      <t>.</t>
    </r>
  </si>
  <si>
    <r>
      <t xml:space="preserve">Target now rolls against his effective Active Defense. If the skill roll is a critical success, go to </t>
    </r>
    <r>
      <rPr>
        <b/>
        <sz val="12"/>
        <rFont val="Times New Roman"/>
        <family val="1"/>
      </rPr>
      <t>[27]</t>
    </r>
    <r>
      <rPr>
        <sz val="12"/>
        <rFont val="Times New Roman"/>
        <family val="1"/>
      </rPr>
      <t xml:space="preserve">. </t>
    </r>
  </si>
  <si>
    <t>[28]</t>
  </si>
  <si>
    <t>[29]</t>
  </si>
  <si>
    <t>Crit fail defense</t>
  </si>
  <si>
    <r>
      <t xml:space="preserve">If the skill roll is a (non-critical) successful Dodge, go to </t>
    </r>
    <r>
      <rPr>
        <b/>
        <sz val="12"/>
        <rFont val="Times New Roman"/>
        <family val="1"/>
      </rPr>
      <t>[23]</t>
    </r>
    <r>
      <rPr>
        <sz val="12"/>
        <rFont val="Times New Roman"/>
        <family val="1"/>
      </rPr>
      <t>.</t>
    </r>
  </si>
  <si>
    <r>
      <t xml:space="preserve">If the skill roll is a critical failure, go to </t>
    </r>
    <r>
      <rPr>
        <b/>
        <sz val="12"/>
        <rFont val="Times New Roman"/>
        <family val="1"/>
      </rPr>
      <t>[28]</t>
    </r>
    <r>
      <rPr>
        <sz val="12"/>
        <rFont val="Times New Roman"/>
        <family val="1"/>
      </rPr>
      <t>.</t>
    </r>
  </si>
  <si>
    <r>
      <t xml:space="preserve">If the skill roll is a (non-critical) failure, go to </t>
    </r>
    <r>
      <rPr>
        <b/>
        <sz val="12"/>
        <rFont val="Times New Roman"/>
        <family val="1"/>
      </rPr>
      <t>[29]</t>
    </r>
    <r>
      <rPr>
        <sz val="12"/>
        <rFont val="Times New Roman"/>
        <family val="1"/>
      </rPr>
      <t>.</t>
    </r>
  </si>
  <si>
    <r>
      <t xml:space="preserve">If this was a ranged attack and the defender chose to dodge, go to </t>
    </r>
    <r>
      <rPr>
        <b/>
        <sz val="12"/>
        <rFont val="Times New Roman"/>
        <family val="1"/>
      </rPr>
      <t>[23]</t>
    </r>
    <r>
      <rPr>
        <sz val="12"/>
        <rFont val="Times New Roman"/>
        <family val="1"/>
      </rPr>
      <t>.</t>
    </r>
  </si>
  <si>
    <r>
      <t xml:space="preserve">If the target Dodged, he loses his footing and falls prone.
If the target Blocked, his shield is now unready.
If the target Parried, he goes to the Critical Miss Table (B556).
Go to </t>
    </r>
    <r>
      <rPr>
        <b/>
        <sz val="12"/>
        <rFont val="Times New Roman"/>
        <family val="1"/>
      </rPr>
      <t>[29]</t>
    </r>
    <r>
      <rPr>
        <sz val="12"/>
        <rFont val="Times New Roman"/>
        <family val="1"/>
      </rPr>
      <t>.</t>
    </r>
  </si>
  <si>
    <t>Roll damage manually and enter the total here:</t>
  </si>
  <si>
    <t>How many d6s do you need to roll?</t>
  </si>
  <si>
    <t>Is there a + or - modifier to the roll?</t>
  </si>
  <si>
    <t>Is there a multiplier to the roll?</t>
  </si>
  <si>
    <t>no</t>
  </si>
  <si>
    <r>
      <t>(</t>
    </r>
    <r>
      <rPr>
        <b/>
        <i/>
        <sz val="12"/>
        <rFont val="Times New Roman"/>
        <family val="1"/>
      </rPr>
      <t>1</t>
    </r>
    <r>
      <rPr>
        <i/>
        <sz val="12"/>
        <rFont val="Times New Roman"/>
        <family val="1"/>
      </rPr>
      <t xml:space="preserve">d6, </t>
    </r>
    <r>
      <rPr>
        <b/>
        <i/>
        <sz val="12"/>
        <rFont val="Times New Roman"/>
        <family val="1"/>
      </rPr>
      <t>3</t>
    </r>
    <r>
      <rPr>
        <i/>
        <sz val="12"/>
        <rFont val="Times New Roman"/>
        <family val="1"/>
      </rPr>
      <t xml:space="preserve">d6, </t>
    </r>
    <r>
      <rPr>
        <b/>
        <i/>
        <sz val="12"/>
        <rFont val="Times New Roman"/>
        <family val="1"/>
      </rPr>
      <t>6</t>
    </r>
    <r>
      <rPr>
        <i/>
        <sz val="12"/>
        <rFont val="Times New Roman"/>
        <family val="1"/>
      </rPr>
      <t>d6, etc.)</t>
    </r>
  </si>
  <si>
    <r>
      <t>(1d</t>
    </r>
    <r>
      <rPr>
        <b/>
        <i/>
        <sz val="12"/>
        <rFont val="Times New Roman"/>
        <family val="1"/>
      </rPr>
      <t>+3</t>
    </r>
    <r>
      <rPr>
        <i/>
        <sz val="12"/>
        <rFont val="Times New Roman"/>
        <family val="1"/>
      </rPr>
      <t>, 2d</t>
    </r>
    <r>
      <rPr>
        <b/>
        <i/>
        <sz val="12"/>
        <rFont val="Times New Roman"/>
        <family val="1"/>
      </rPr>
      <t>-1</t>
    </r>
    <r>
      <rPr>
        <i/>
        <sz val="12"/>
        <rFont val="Times New Roman"/>
        <family val="1"/>
      </rPr>
      <t>, etc.)</t>
    </r>
  </si>
  <si>
    <r>
      <t>(6d</t>
    </r>
    <r>
      <rPr>
        <b/>
        <i/>
        <sz val="12"/>
        <rFont val="Times New Roman"/>
        <family val="1"/>
      </rPr>
      <t>x3</t>
    </r>
    <r>
      <rPr>
        <i/>
        <sz val="12"/>
        <rFont val="Times New Roman"/>
        <family val="1"/>
      </rPr>
      <t>, 4d</t>
    </r>
    <r>
      <rPr>
        <b/>
        <i/>
        <sz val="12"/>
        <rFont val="Times New Roman"/>
        <family val="1"/>
      </rPr>
      <t>x10</t>
    </r>
    <r>
      <rPr>
        <i/>
        <sz val="12"/>
        <rFont val="Times New Roman"/>
        <family val="1"/>
      </rPr>
      <t>, etc.)</t>
    </r>
  </si>
  <si>
    <t>(minimum of 0 for crushing attacks; 1 for others)</t>
  </si>
  <si>
    <r>
      <t xml:space="preserve">Choose the </t>
    </r>
    <r>
      <rPr>
        <i/>
        <sz val="12"/>
        <rFont val="Times New Roman"/>
        <family val="1"/>
      </rPr>
      <t>damage type</t>
    </r>
    <r>
      <rPr>
        <sz val="12"/>
        <rFont val="Times New Roman"/>
        <family val="1"/>
      </rPr>
      <t xml:space="preserve"> for this attack:</t>
    </r>
  </si>
  <si>
    <t>[30]</t>
  </si>
  <si>
    <t>All-Out Attack (Strong)</t>
  </si>
  <si>
    <t>Or click here to generate a random 3d6 result:</t>
  </si>
  <si>
    <t>(from previous step)</t>
  </si>
  <si>
    <t>Basic Damage</t>
  </si>
  <si>
    <t>Maximum normal damage</t>
  </si>
  <si>
    <t>Double damage</t>
  </si>
  <si>
    <t>Triple damage</t>
  </si>
  <si>
    <r>
      <t xml:space="preserve">Roll on the appropriate Critical Hit Table (B552) and apply any immediate effects, then select all relevant checkboxes below regarding basic damage, DR, and hit location. Note that these results only apply to </t>
    </r>
    <r>
      <rPr>
        <i/>
        <sz val="12"/>
        <rFont val="Times New Roman"/>
        <family val="1"/>
      </rPr>
      <t>one</t>
    </r>
    <r>
      <rPr>
        <sz val="12"/>
        <rFont val="Times New Roman"/>
        <family val="1"/>
      </rPr>
      <t xml:space="preserve"> round in a group if firing an automatic weapon. The target gets no Active Defense. 
Go to </t>
    </r>
    <r>
      <rPr>
        <b/>
        <sz val="12"/>
        <rFont val="Times New Roman"/>
        <family val="1"/>
      </rPr>
      <t>[29]</t>
    </r>
    <r>
      <rPr>
        <sz val="12"/>
        <rFont val="Times New Roman"/>
        <family val="1"/>
      </rPr>
      <t>.</t>
    </r>
  </si>
  <si>
    <t>DR (Damage Resistance)</t>
  </si>
  <si>
    <t>Target's DR protects at half value (round up) after applying armor divisors</t>
  </si>
  <si>
    <t>Target's DR protects at half value (round down) after applying armor divisors</t>
  </si>
  <si>
    <t>If any damage penetrates DR, treat it as if it were a major wound</t>
  </si>
  <si>
    <t>If any damage penetrates DR, it inflicts double normal shock (maximum of -8)</t>
  </si>
  <si>
    <t>If the attack targeted the face or skull, treat it as an eye hit instead</t>
  </si>
  <si>
    <r>
      <t xml:space="preserve">Maximum normal damage </t>
    </r>
    <r>
      <rPr>
        <i/>
        <sz val="12"/>
        <rFont val="Times New Roman"/>
        <family val="1"/>
      </rPr>
      <t>and</t>
    </r>
    <r>
      <rPr>
        <sz val="12"/>
        <rFont val="Times New Roman"/>
        <family val="1"/>
      </rPr>
      <t xml:space="preserve"> ignore target's DR</t>
    </r>
  </si>
  <si>
    <t>(even if the attack could not normally target the eye)</t>
  </si>
  <si>
    <t>From Critical Hit results (step [24])</t>
  </si>
  <si>
    <t>Results of "Roll":</t>
  </si>
  <si>
    <t>Or enter the dice parameters below and click the 'Roll' button:</t>
  </si>
  <si>
    <t>Total:</t>
  </si>
  <si>
    <t>Basic Damage:</t>
  </si>
  <si>
    <t>Penetrating Damage:</t>
  </si>
  <si>
    <t>Enter here the DR of the hit location that has been struck, remembering</t>
  </si>
  <si>
    <t>Armor Divisors</t>
  </si>
  <si>
    <t>that some armors have different DR values against different attack types.</t>
  </si>
  <si>
    <t>Dart rounds, etc.</t>
  </si>
  <si>
    <t>Stone blade, wooden stake, whip, stun gun, HP rounds, etc.</t>
  </si>
  <si>
    <t>Bodkin points, APHC rounds, lasers, etc.</t>
  </si>
  <si>
    <t>Gauss rounds, etc.</t>
  </si>
  <si>
    <t>Force sword, blasters, etc.</t>
  </si>
  <si>
    <t>Heavy weapons/artillery, monowire, etc.</t>
  </si>
  <si>
    <t>Effective DR:</t>
  </si>
  <si>
    <r>
      <t xml:space="preserve">Apply any armor divisors - for armor-piercing bullets, shaped-charge rounds, monowire, etc.- to the target's DR at the hit location you have hit, using the DR that applies to the attack in question (e.g., Kevlar is less effective versus impaling attacks). If the attack causes Large-Scale Injury (B400), use the average DR of the torso and the least protected hit location. Go to </t>
    </r>
    <r>
      <rPr>
        <b/>
        <sz val="12"/>
        <rFont val="Times New Roman"/>
        <family val="1"/>
      </rPr>
      <t>[31]</t>
    </r>
    <r>
      <rPr>
        <sz val="12"/>
        <rFont val="Times New Roman"/>
        <family val="1"/>
      </rPr>
      <t>.</t>
    </r>
  </si>
  <si>
    <t>[31]</t>
  </si>
  <si>
    <t>[33]</t>
  </si>
  <si>
    <t>[32]</t>
  </si>
  <si>
    <t>Blunt Tramua:</t>
  </si>
  <si>
    <r>
      <t xml:space="preserve">If the penetrating damage </t>
    </r>
    <r>
      <rPr>
        <sz val="12"/>
        <rFont val="Times New Roman"/>
        <family val="1"/>
      </rPr>
      <t xml:space="preserve">is greater than 0, go to </t>
    </r>
    <r>
      <rPr>
        <b/>
        <sz val="12"/>
        <rFont val="Times New Roman"/>
        <family val="1"/>
      </rPr>
      <t>[33]</t>
    </r>
    <r>
      <rPr>
        <sz val="12"/>
        <rFont val="Times New Roman"/>
        <family val="1"/>
      </rPr>
      <t>.</t>
    </r>
  </si>
  <si>
    <r>
      <t xml:space="preserve">If the penetrating damage </t>
    </r>
    <r>
      <rPr>
        <sz val="12"/>
        <rFont val="Times New Roman"/>
        <family val="1"/>
      </rPr>
      <t xml:space="preserve">is </t>
    </r>
    <r>
      <rPr>
        <i/>
        <sz val="12"/>
        <rFont val="Times New Roman"/>
        <family val="1"/>
      </rPr>
      <t>exactly</t>
    </r>
    <r>
      <rPr>
        <sz val="12"/>
        <rFont val="Times New Roman"/>
        <family val="1"/>
      </rPr>
      <t xml:space="preserve"> 0 (0 or less for a bullet), go to </t>
    </r>
    <r>
      <rPr>
        <b/>
        <sz val="12"/>
        <rFont val="Times New Roman"/>
        <family val="1"/>
      </rPr>
      <t>[32]</t>
    </r>
    <r>
      <rPr>
        <sz val="12"/>
        <rFont val="Times New Roman"/>
        <family val="1"/>
      </rPr>
      <t>.</t>
    </r>
  </si>
  <si>
    <r>
      <t xml:space="preserve">If the target is wearing flexible, non-rigid armor (leather, mail, kevlar, etc.), then for every </t>
    </r>
    <r>
      <rPr>
        <i/>
        <sz val="12"/>
        <rFont val="Times New Roman"/>
        <family val="1"/>
      </rPr>
      <t>full</t>
    </r>
    <r>
      <rPr>
        <sz val="12"/>
        <rFont val="Times New Roman"/>
        <family val="1"/>
      </rPr>
      <t xml:space="preserve"> 10 points of cutting, impaling, or piercing damage, or for every </t>
    </r>
    <r>
      <rPr>
        <i/>
        <sz val="12"/>
        <rFont val="Times New Roman"/>
        <family val="1"/>
      </rPr>
      <t>full</t>
    </r>
    <r>
      <rPr>
        <sz val="12"/>
        <rFont val="Times New Roman"/>
        <family val="1"/>
      </rPr>
      <t xml:space="preserve"> 5 points of crushing damage, you inflict 1 point of blunt trauma (B379). If you inflict damage, go to </t>
    </r>
    <r>
      <rPr>
        <b/>
        <sz val="12"/>
        <rFont val="Times New Roman"/>
        <family val="1"/>
      </rPr>
      <t>[33]</t>
    </r>
    <r>
      <rPr>
        <sz val="12"/>
        <rFont val="Times New Roman"/>
        <family val="1"/>
      </rPr>
      <t>.</t>
    </r>
  </si>
  <si>
    <t>Vulnerability</t>
  </si>
  <si>
    <t>x2</t>
  </si>
  <si>
    <t>x3</t>
  </si>
  <si>
    <t>x4</t>
  </si>
  <si>
    <t>Attack Type</t>
  </si>
  <si>
    <r>
      <t xml:space="preserve">Otherwise, go to </t>
    </r>
    <r>
      <rPr>
        <b/>
        <sz val="12"/>
        <rFont val="Times New Roman"/>
        <family val="1"/>
      </rPr>
      <t>[35]</t>
    </r>
    <r>
      <rPr>
        <sz val="12"/>
        <rFont val="Times New Roman"/>
        <family val="1"/>
      </rPr>
      <t>.</t>
    </r>
  </si>
  <si>
    <t>[34]</t>
  </si>
  <si>
    <t>Target's ST:</t>
  </si>
  <si>
    <t>Hexes of knockback:</t>
  </si>
  <si>
    <t>Penalty to roll to avoid falling down:</t>
  </si>
  <si>
    <r>
      <t xml:space="preserve">First, multiply the penetrating damage by any Vulnerability modifier (B161). Then multiply by any wounding modifiers for attack type (cutting, impaling, special ammo, etc.) - if the hit location struck specifies a multiplier for this attack type, use the hit location modifier </t>
    </r>
    <r>
      <rPr>
        <i/>
        <sz val="12"/>
        <rFont val="Times New Roman"/>
        <family val="1"/>
      </rPr>
      <t>instead</t>
    </r>
    <r>
      <rPr>
        <sz val="12"/>
        <rFont val="Times New Roman"/>
        <family val="1"/>
      </rPr>
      <t xml:space="preserve"> of the attack type modifier. (Note: blunt trauma damage is </t>
    </r>
    <r>
      <rPr>
        <i/>
        <sz val="12"/>
        <rFont val="Times New Roman"/>
        <family val="1"/>
      </rPr>
      <t>not</t>
    </r>
    <r>
      <rPr>
        <sz val="12"/>
        <rFont val="Times New Roman"/>
        <family val="1"/>
      </rPr>
      <t xml:space="preserve"> subject to these modifiers).
If this attack could cause Knockback (a crushing attack, or a cutting attack that failed to penetrate DR - B378), go to </t>
    </r>
    <r>
      <rPr>
        <b/>
        <sz val="12"/>
        <rFont val="Times New Roman"/>
        <family val="1"/>
      </rPr>
      <t>[34]</t>
    </r>
    <r>
      <rPr>
        <sz val="12"/>
        <rFont val="Times New Roman"/>
        <family val="1"/>
      </rPr>
      <t>.</t>
    </r>
  </si>
  <si>
    <r>
      <t xml:space="preserve">Apply 1 hex of knockback (B378) for every </t>
    </r>
    <r>
      <rPr>
        <i/>
        <sz val="12"/>
        <rFont val="Times New Roman"/>
        <family val="1"/>
      </rPr>
      <t>full</t>
    </r>
    <r>
      <rPr>
        <sz val="12"/>
        <rFont val="Times New Roman"/>
        <family val="1"/>
      </rPr>
      <t xml:space="preserve"> multiple of the target's ST-2 rolled as basic damage (before applying DR - </t>
    </r>
    <r>
      <rPr>
        <i/>
        <sz val="12"/>
        <rFont val="Times New Roman"/>
        <family val="1"/>
      </rPr>
      <t>not</t>
    </r>
    <r>
      <rPr>
        <sz val="12"/>
        <rFont val="Times New Roman"/>
        <family val="1"/>
      </rPr>
      <t xml:space="preserve"> penetrating damage). A target suffering knockback must attempt a roll against the highest of DX, Acrobatics, or Judo - if knocked back more than one hex, he rolls at -1 per hex after the first (Perfect Balance gives +4 to this roll). On a failure, he falls down. Go to </t>
    </r>
    <r>
      <rPr>
        <b/>
        <sz val="12"/>
        <rFont val="Times New Roman"/>
        <family val="1"/>
      </rPr>
      <t>[35]</t>
    </r>
    <r>
      <rPr>
        <sz val="12"/>
        <rFont val="Times New Roman"/>
        <family val="1"/>
      </rPr>
      <t>.</t>
    </r>
  </si>
  <si>
    <t>[35]</t>
  </si>
  <si>
    <t>Total Damage/Injury:</t>
  </si>
  <si>
    <t>Injury Inflicted:</t>
  </si>
  <si>
    <t>Limb (HP/2)</t>
  </si>
  <si>
    <t>Cripple</t>
  </si>
  <si>
    <t>Destroy</t>
  </si>
  <si>
    <t>Eye (HP/10)</t>
  </si>
  <si>
    <t>Extremity (HP/3)</t>
  </si>
  <si>
    <t>Target's Remaining HP:</t>
  </si>
  <si>
    <t>Target's Starting HP:</t>
  </si>
  <si>
    <r>
      <t xml:space="preserve">Enter the Target's Starting Hit Points below. It is possible to cause enough injury in a single blow to cripple a limb (over HP/2), an extremity (over HP/3), or an eye (over HP/10). A blow to a limb or extremity can never cause more injury than the minimum required to cripple that location (no such limit exists for the eye) - if injury to a limb or extremity is at least twice the amount needed to cripple it before this limit is applied, the location is not just crippled but destroyed.
Go to </t>
    </r>
    <r>
      <rPr>
        <b/>
        <sz val="12"/>
        <rFont val="Times New Roman"/>
        <family val="1"/>
      </rPr>
      <t>[36]</t>
    </r>
    <r>
      <rPr>
        <sz val="12"/>
        <rFont val="Times New Roman"/>
        <family val="1"/>
      </rPr>
      <t>.</t>
    </r>
  </si>
  <si>
    <t>[36]</t>
  </si>
  <si>
    <t>Shock Penalty:</t>
  </si>
  <si>
    <r>
      <t xml:space="preserve">Otherwise, go to </t>
    </r>
    <r>
      <rPr>
        <b/>
        <sz val="12"/>
        <rFont val="Times New Roman"/>
        <family val="1"/>
      </rPr>
      <t>[38]</t>
    </r>
    <r>
      <rPr>
        <sz val="12"/>
        <rFont val="Times New Roman"/>
        <family val="1"/>
      </rPr>
      <t>.</t>
    </r>
  </si>
  <si>
    <t>[37]</t>
  </si>
  <si>
    <t>Target's HT:</t>
  </si>
  <si>
    <r>
      <t xml:space="preserve">The target will have a shock penalty (B419) on all DX-based and IQ-based skills next turn equal to the injury inflicted (to a maximum of -4). 
If this is a Major Wound (a single injury of greater than 1/2 HP, or a lesser injury that cripples a body part - B420), go to </t>
    </r>
    <r>
      <rPr>
        <b/>
        <sz val="12"/>
        <rFont val="Times New Roman"/>
        <family val="1"/>
      </rPr>
      <t>[37]</t>
    </r>
    <r>
      <rPr>
        <sz val="12"/>
        <rFont val="Times New Roman"/>
        <family val="1"/>
      </rPr>
      <t>.</t>
    </r>
  </si>
  <si>
    <r>
      <t xml:space="preserve">Target must make an immediate HT roll to avoid stun (B420). If he fails he is stunned and falls prone - a HT roll to recover may be made at the end of each turn. Go to </t>
    </r>
    <r>
      <rPr>
        <b/>
        <sz val="12"/>
        <rFont val="Times New Roman"/>
        <family val="1"/>
      </rPr>
      <t>[38]</t>
    </r>
    <r>
      <rPr>
        <sz val="12"/>
        <rFont val="Times New Roman"/>
        <family val="1"/>
      </rPr>
      <t>.</t>
    </r>
  </si>
  <si>
    <t>[38]</t>
  </si>
  <si>
    <t>Target's HP/3:</t>
  </si>
  <si>
    <t>Target's -HP:</t>
  </si>
  <si>
    <t>Target's -5xHP:</t>
  </si>
  <si>
    <t>Thresholds</t>
  </si>
  <si>
    <r>
      <t xml:space="preserve">If the target's HP are less than HP/3, but more than 0, go to </t>
    </r>
    <r>
      <rPr>
        <b/>
        <sz val="12"/>
        <rFont val="Times New Roman"/>
        <family val="1"/>
      </rPr>
      <t>[39]</t>
    </r>
    <r>
      <rPr>
        <sz val="12"/>
        <rFont val="Times New Roman"/>
        <family val="1"/>
      </rPr>
      <t>.</t>
    </r>
  </si>
  <si>
    <t>[39]</t>
  </si>
  <si>
    <t>[40]</t>
  </si>
  <si>
    <t>Penalty to HT roll to stay conscious:</t>
  </si>
  <si>
    <t>(-1 per full multiple of HP below 0)</t>
  </si>
  <si>
    <t>-HP</t>
  </si>
  <si>
    <t>-2xHP</t>
  </si>
  <si>
    <t>-3xHP</t>
  </si>
  <si>
    <t>-4xHP</t>
  </si>
  <si>
    <t>-5xHP</t>
  </si>
  <si>
    <t>Penalty</t>
  </si>
  <si>
    <t>[41]</t>
  </si>
  <si>
    <t>Roll manually:</t>
  </si>
  <si>
    <t>Result (to avoid unconsciousness)</t>
  </si>
  <si>
    <t>Result (to avoid dying)</t>
  </si>
  <si>
    <t>[42]</t>
  </si>
  <si>
    <t>[43]</t>
  </si>
  <si>
    <r>
      <t xml:space="preserve">If this attack </t>
    </r>
    <r>
      <rPr>
        <i/>
        <sz val="12"/>
        <rFont val="Times New Roman"/>
        <family val="1"/>
      </rPr>
      <t>does</t>
    </r>
    <r>
      <rPr>
        <sz val="12"/>
        <rFont val="Times New Roman"/>
        <family val="1"/>
      </rPr>
      <t xml:space="preserve"> inflict Fatigue damage, go to </t>
    </r>
    <r>
      <rPr>
        <b/>
        <sz val="12"/>
        <rFont val="Times New Roman"/>
        <family val="1"/>
      </rPr>
      <t>[42]</t>
    </r>
    <r>
      <rPr>
        <sz val="12"/>
        <rFont val="Times New Roman"/>
        <family val="1"/>
      </rPr>
      <t>.</t>
    </r>
  </si>
  <si>
    <t>Fatigue Injury Inflicted:</t>
  </si>
  <si>
    <t>Target's Starting FP:</t>
  </si>
  <si>
    <t>Target's Remaining FP:</t>
  </si>
  <si>
    <r>
      <t xml:space="preserve">If the target's FP are less than FP/3, but more than 0, go to </t>
    </r>
    <r>
      <rPr>
        <b/>
        <sz val="12"/>
        <rFont val="Times New Roman"/>
        <family val="1"/>
      </rPr>
      <t>[43]</t>
    </r>
    <r>
      <rPr>
        <sz val="12"/>
        <rFont val="Times New Roman"/>
        <family val="1"/>
      </rPr>
      <t>.</t>
    </r>
  </si>
  <si>
    <r>
      <t xml:space="preserve">If the target's FP are 0 or less, but more than -FP, go to </t>
    </r>
    <r>
      <rPr>
        <b/>
        <sz val="12"/>
        <rFont val="Times New Roman"/>
        <family val="1"/>
      </rPr>
      <t>[44]</t>
    </r>
    <r>
      <rPr>
        <sz val="12"/>
        <rFont val="Times New Roman"/>
        <family val="1"/>
      </rPr>
      <t>.</t>
    </r>
  </si>
  <si>
    <r>
      <t xml:space="preserve">If the target's FP are -FP or less, go to </t>
    </r>
    <r>
      <rPr>
        <b/>
        <sz val="12"/>
        <rFont val="Times New Roman"/>
        <family val="1"/>
      </rPr>
      <t>[45]</t>
    </r>
    <r>
      <rPr>
        <sz val="12"/>
        <rFont val="Times New Roman"/>
        <family val="1"/>
      </rPr>
      <t>.</t>
    </r>
  </si>
  <si>
    <t>[44]</t>
  </si>
  <si>
    <t>[45]</t>
  </si>
  <si>
    <t>Extra possible hits:</t>
  </si>
  <si>
    <r>
      <t xml:space="preserve">The target is critically injured.
If this attack could also hit others, go to </t>
    </r>
    <r>
      <rPr>
        <b/>
        <sz val="12"/>
        <rFont val="Times New Roman"/>
        <family val="1"/>
      </rPr>
      <t>[53]</t>
    </r>
    <r>
      <rPr>
        <sz val="12"/>
        <rFont val="Times New Roman"/>
        <family val="1"/>
      </rPr>
      <t xml:space="preserve">.
Otherwise, the attack is </t>
    </r>
    <r>
      <rPr>
        <b/>
        <sz val="12"/>
        <rFont val="Times New Roman"/>
        <family val="1"/>
      </rPr>
      <t>finished</t>
    </r>
    <r>
      <rPr>
        <sz val="12"/>
        <rFont val="Times New Roman"/>
        <family val="1"/>
      </rPr>
      <t>.</t>
    </r>
  </si>
  <si>
    <r>
      <t xml:space="preserve">The attack has missed.
If this attack could also hit others, go to </t>
    </r>
    <r>
      <rPr>
        <b/>
        <sz val="12"/>
        <rFont val="Times New Roman"/>
        <family val="1"/>
      </rPr>
      <t>[53]</t>
    </r>
    <r>
      <rPr>
        <sz val="12"/>
        <rFont val="Times New Roman"/>
        <family val="1"/>
      </rPr>
      <t xml:space="preserve">.
Otherwise, the attack is </t>
    </r>
    <r>
      <rPr>
        <b/>
        <sz val="12"/>
        <rFont val="Times New Roman"/>
        <family val="1"/>
      </rPr>
      <t>finished</t>
    </r>
    <r>
      <rPr>
        <sz val="12"/>
        <rFont val="Times New Roman"/>
        <family val="1"/>
      </rPr>
      <t>.</t>
    </r>
  </si>
  <si>
    <r>
      <t xml:space="preserve">The blow hits, but has no effect on the target (unless you were attacking for the purpose of simply touching the target, as a mage or psi may wish to).
If this attack could also hit others, go to </t>
    </r>
    <r>
      <rPr>
        <b/>
        <sz val="12"/>
        <rFont val="Times New Roman"/>
        <family val="1"/>
      </rPr>
      <t>[53]</t>
    </r>
    <r>
      <rPr>
        <sz val="12"/>
        <rFont val="Times New Roman"/>
        <family val="1"/>
      </rPr>
      <t xml:space="preserve">.
Otherwise, the attack is </t>
    </r>
    <r>
      <rPr>
        <b/>
        <sz val="12"/>
        <rFont val="Times New Roman"/>
        <family val="1"/>
      </rPr>
      <t>finished</t>
    </r>
    <r>
      <rPr>
        <sz val="12"/>
        <rFont val="Times New Roman"/>
        <family val="1"/>
      </rPr>
      <t>.</t>
    </r>
  </si>
  <si>
    <r>
      <t xml:space="preserve">The target is slightly injured.
If this attack could also hit others, go to </t>
    </r>
    <r>
      <rPr>
        <b/>
        <sz val="12"/>
        <rFont val="Times New Roman"/>
        <family val="1"/>
      </rPr>
      <t>[53]</t>
    </r>
    <r>
      <rPr>
        <sz val="12"/>
        <rFont val="Times New Roman"/>
        <family val="1"/>
      </rPr>
      <t xml:space="preserve">.
Otherwise, the attack is </t>
    </r>
    <r>
      <rPr>
        <b/>
        <sz val="12"/>
        <rFont val="Times New Roman"/>
        <family val="1"/>
      </rPr>
      <t>finished</t>
    </r>
    <r>
      <rPr>
        <sz val="12"/>
        <rFont val="Times New Roman"/>
        <family val="1"/>
      </rPr>
      <t>.</t>
    </r>
  </si>
  <si>
    <r>
      <t xml:space="preserve">The target is severely injured.
If this attack could also hit others, go to </t>
    </r>
    <r>
      <rPr>
        <b/>
        <sz val="12"/>
        <rFont val="Times New Roman"/>
        <family val="1"/>
      </rPr>
      <t>[53]</t>
    </r>
    <r>
      <rPr>
        <sz val="12"/>
        <rFont val="Times New Roman"/>
        <family val="1"/>
      </rPr>
      <t xml:space="preserve">.
Otherwise, the attack is </t>
    </r>
    <r>
      <rPr>
        <b/>
        <sz val="12"/>
        <rFont val="Times New Roman"/>
        <family val="1"/>
      </rPr>
      <t>finished</t>
    </r>
    <r>
      <rPr>
        <sz val="12"/>
        <rFont val="Times New Roman"/>
        <family val="1"/>
      </rPr>
      <t>.</t>
    </r>
  </si>
  <si>
    <r>
      <t xml:space="preserve">The target is dead.
If this attack could also hit others, go to </t>
    </r>
    <r>
      <rPr>
        <b/>
        <sz val="12"/>
        <rFont val="Times New Roman"/>
        <family val="1"/>
      </rPr>
      <t>[53]</t>
    </r>
    <r>
      <rPr>
        <sz val="12"/>
        <rFont val="Times New Roman"/>
        <family val="1"/>
      </rPr>
      <t xml:space="preserve">.
Otherwise, the attack is </t>
    </r>
    <r>
      <rPr>
        <b/>
        <sz val="12"/>
        <rFont val="Times New Roman"/>
        <family val="1"/>
      </rPr>
      <t>finished</t>
    </r>
    <r>
      <rPr>
        <sz val="12"/>
        <rFont val="Times New Roman"/>
        <family val="1"/>
      </rPr>
      <t>.</t>
    </r>
  </si>
  <si>
    <r>
      <t>GURPS</t>
    </r>
    <r>
      <rPr>
        <i/>
        <sz val="10"/>
        <color indexed="12"/>
        <rFont val="Times New Roman"/>
        <family val="1"/>
      </rPr>
      <t xml:space="preserve"> is a trademark of </t>
    </r>
    <r>
      <rPr>
        <b/>
        <i/>
        <sz val="10"/>
        <color indexed="12"/>
        <rFont val="Times New Roman"/>
        <family val="1"/>
      </rPr>
      <t>Steve Jackson Games</t>
    </r>
    <r>
      <rPr>
        <i/>
        <sz val="10"/>
        <color indexed="12"/>
        <rFont val="Times New Roman"/>
        <family val="1"/>
      </rPr>
      <t xml:space="preserve">, and its rules and art are copyrighted by Steve Jackson Games. All rights are reserved by Steve Jackson Games. This game aid is the original creation of </t>
    </r>
    <r>
      <rPr>
        <b/>
        <i/>
        <sz val="10"/>
        <color indexed="12"/>
        <rFont val="Times New Roman"/>
        <family val="1"/>
      </rPr>
      <t>Warren "Mook" Wilson</t>
    </r>
    <r>
      <rPr>
        <i/>
        <sz val="10"/>
        <color indexed="12"/>
        <rFont val="Times New Roman"/>
        <family val="1"/>
      </rPr>
      <t xml:space="preserve"> and is released for free distribution, and not for resale, under the permissions granted in the Steve Jackson Games Online Policy.</t>
    </r>
  </si>
  <si>
    <r>
      <t xml:space="preserve">Go to </t>
    </r>
    <r>
      <rPr>
        <b/>
        <sz val="12"/>
        <rFont val="Times New Roman"/>
        <family val="1"/>
      </rPr>
      <t>[1]</t>
    </r>
    <r>
      <rPr>
        <sz val="12"/>
        <rFont val="Times New Roman"/>
        <family val="1"/>
      </rPr>
      <t xml:space="preserve"> to reset the spreadsheet and start a new attack.</t>
    </r>
  </si>
  <si>
    <r>
      <t>If the "</t>
    </r>
    <r>
      <rPr>
        <i/>
        <sz val="12"/>
        <rFont val="Times New Roman"/>
        <family val="1"/>
      </rPr>
      <t>Extra Possible Hits</t>
    </r>
    <r>
      <rPr>
        <sz val="12"/>
        <rFont val="Times New Roman"/>
        <family val="1"/>
      </rPr>
      <t xml:space="preserve">" field below is anything other than 0, this attack may have scored multiple hits. Reload a fresh copy of this spreadsheet (or use the 'Reset' button on Step </t>
    </r>
    <r>
      <rPr>
        <b/>
        <sz val="12"/>
        <rFont val="Times New Roman"/>
        <family val="1"/>
      </rPr>
      <t>[1]</t>
    </r>
    <r>
      <rPr>
        <sz val="12"/>
        <rFont val="Times New Roman"/>
        <family val="1"/>
      </rPr>
      <t>) and work through the combat again</t>
    </r>
    <r>
      <rPr>
        <sz val="12"/>
        <rFont val="Times New Roman"/>
        <family val="1"/>
      </rPr>
      <t>, once for each other possible hit indicated, ignoring any options not applicable to multiple attacks (for example, only the first round of a burst can be a critical success.
Otherwise, this attack has ended.</t>
    </r>
  </si>
  <si>
    <t>… + for an additional turn</t>
  </si>
  <si>
    <t>OR … + for two or more additional turns</t>
  </si>
  <si>
    <r>
      <t xml:space="preserve">The target is reeling from his wound(s), and now has half his usual Move and Dodge scores (round </t>
    </r>
    <r>
      <rPr>
        <i/>
        <sz val="12"/>
        <rFont val="Times New Roman"/>
        <family val="1"/>
      </rPr>
      <t>up</t>
    </r>
    <r>
      <rPr>
        <sz val="12"/>
        <rFont val="Times New Roman"/>
        <family val="1"/>
      </rPr>
      <t xml:space="preserve"> - B419). Go to </t>
    </r>
    <r>
      <rPr>
        <b/>
        <sz val="12"/>
        <rFont val="Times New Roman"/>
        <family val="1"/>
      </rPr>
      <t>[51]</t>
    </r>
    <r>
      <rPr>
        <sz val="12"/>
        <rFont val="Times New Roman"/>
        <family val="1"/>
      </rPr>
      <t>.</t>
    </r>
  </si>
  <si>
    <r>
      <t xml:space="preserve">The target is in danger of dying - he now has half his usual Move and Dodge scores (round up - B419).
He must also make a HT roll at the start of each turn he is below 0 HP (at -1 per full multiple of HP below 0). Failure means he falls unconscious; success means he can act normally, but must roll again every turn to continue functioning. (Exception: roll only on turns when target attempts a defense roll, or chooses any maneuver other than Do Nothing).
In addition, he must make </t>
    </r>
    <r>
      <rPr>
        <i/>
        <sz val="12"/>
        <rFont val="Times New Roman"/>
        <family val="1"/>
      </rPr>
      <t>immediate</t>
    </r>
    <r>
      <rPr>
        <sz val="12"/>
        <rFont val="Times New Roman"/>
        <family val="1"/>
      </rPr>
      <t xml:space="preserve"> HT rolls to avoid dying, once for each threshold of -HP reached. If all HT rolls to avoid dying are successful, go to </t>
    </r>
    <r>
      <rPr>
        <b/>
        <sz val="12"/>
        <rFont val="Times New Roman"/>
        <family val="1"/>
      </rPr>
      <t>[47]</t>
    </r>
    <r>
      <rPr>
        <sz val="12"/>
        <rFont val="Times New Roman"/>
        <family val="1"/>
      </rPr>
      <t>.</t>
    </r>
  </si>
  <si>
    <r>
      <t xml:space="preserve">The target is in immediate danger of collapse - he now has half his usual Move and Dodge scores (round </t>
    </r>
    <r>
      <rPr>
        <i/>
        <sz val="12"/>
        <rFont val="Times New Roman"/>
        <family val="1"/>
      </rPr>
      <t>up</t>
    </r>
    <r>
      <rPr>
        <sz val="12"/>
        <rFont val="Times New Roman"/>
        <family val="1"/>
      </rPr>
      <t xml:space="preserve"> - B419).
He must also make a HT roll at the start of each turn he is below 0 HP (at a -1 per </t>
    </r>
    <r>
      <rPr>
        <i/>
        <sz val="12"/>
        <rFont val="Times New Roman"/>
        <family val="1"/>
      </rPr>
      <t>full</t>
    </r>
    <r>
      <rPr>
        <sz val="12"/>
        <rFont val="Times New Roman"/>
        <family val="1"/>
      </rPr>
      <t xml:space="preserve"> multiple of HP below 0). Failure means he falls unconscious; success means he can act normally, but must roll again </t>
    </r>
    <r>
      <rPr>
        <i/>
        <sz val="12"/>
        <rFont val="Times New Roman"/>
        <family val="1"/>
      </rPr>
      <t>every turn</t>
    </r>
    <r>
      <rPr>
        <sz val="12"/>
        <rFont val="Times New Roman"/>
        <family val="1"/>
      </rPr>
      <t xml:space="preserve"> to continue functioning. (Exception: roll only on turns when target attempts a defense roll, or chooses any maneuver other than Do Nothing).
Go to </t>
    </r>
    <r>
      <rPr>
        <b/>
        <sz val="12"/>
        <rFont val="Times New Roman"/>
        <family val="1"/>
      </rPr>
      <t>[51]</t>
    </r>
    <r>
      <rPr>
        <sz val="12"/>
        <rFont val="Times New Roman"/>
        <family val="1"/>
      </rPr>
      <t>.</t>
    </r>
  </si>
  <si>
    <r>
      <t>Choose the appropriate attack type below.</t>
    </r>
    <r>
      <rPr>
        <sz val="12"/>
        <rFont val="Times New Roman"/>
        <family val="1"/>
      </rPr>
      <t xml:space="preserve">
If the attack is a ranged attack, go to </t>
    </r>
    <r>
      <rPr>
        <b/>
        <sz val="12"/>
        <rFont val="Times New Roman"/>
        <family val="1"/>
      </rPr>
      <t>[7]</t>
    </r>
    <r>
      <rPr>
        <sz val="12"/>
        <rFont val="Times New Roman"/>
        <family val="1"/>
      </rPr>
      <t>.</t>
    </r>
  </si>
  <si>
    <r>
      <t xml:space="preserve">Check all applicable modifiers below based on other actions by the attacker, target's position, and visibility. Then, if the attack is </t>
    </r>
    <r>
      <rPr>
        <b/>
        <sz val="12"/>
        <rFont val="Times New Roman"/>
        <family val="1"/>
      </rPr>
      <t>Rapid Fire</t>
    </r>
    <r>
      <rPr>
        <sz val="12"/>
        <rFont val="Times New Roman"/>
        <family val="1"/>
      </rPr>
      <t xml:space="preserve">, go to </t>
    </r>
    <r>
      <rPr>
        <b/>
        <sz val="12"/>
        <rFont val="Times New Roman"/>
        <family val="1"/>
      </rPr>
      <t>[12]</t>
    </r>
    <r>
      <rPr>
        <sz val="12"/>
        <rFont val="Times New Roman"/>
        <family val="1"/>
      </rPr>
      <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</si>
</sst>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22">
    <font>
      <sz val="12"/>
      <name val="Lucida Console"/>
      <family val="0"/>
    </font>
    <font>
      <sz val="8"/>
      <name val="Lucida Console"/>
      <family val="0"/>
    </font>
    <font>
      <sz val="12"/>
      <name val="Times New Roman"/>
      <family val="1"/>
    </font>
    <font>
      <u val="single"/>
      <sz val="12"/>
      <color indexed="36"/>
      <name val="Lucida Console"/>
      <family val="0"/>
    </font>
    <font>
      <sz val="12"/>
      <color indexed="12"/>
      <name val="Lucida Console"/>
      <family val="0"/>
    </font>
    <font>
      <b/>
      <sz val="12"/>
      <name val="Times New Roman"/>
      <family val="1"/>
    </font>
    <font>
      <sz val="12"/>
      <color indexed="12"/>
      <name val="Times New Roman"/>
      <family val="1"/>
    </font>
    <font>
      <sz val="8"/>
      <name val="Tahoma"/>
      <family val="2"/>
    </font>
    <font>
      <i/>
      <sz val="12"/>
      <name val="Times New Roman"/>
      <family val="1"/>
    </font>
    <font>
      <sz val="10"/>
      <name val="Arial"/>
      <family val="0"/>
    </font>
    <font>
      <b/>
      <sz val="8"/>
      <name val="Tahoma"/>
      <family val="0"/>
    </font>
    <font>
      <b/>
      <i/>
      <sz val="8"/>
      <name val="Tahoma"/>
      <family val="2"/>
    </font>
    <font>
      <sz val="12"/>
      <color indexed="9"/>
      <name val="Times New Roman"/>
      <family val="1"/>
    </font>
    <font>
      <b/>
      <i/>
      <sz val="12"/>
      <name val="Times New Roman"/>
      <family val="1"/>
    </font>
    <font>
      <b/>
      <i/>
      <sz val="12"/>
      <color indexed="10"/>
      <name val="Times New Roman"/>
      <family val="1"/>
    </font>
    <font>
      <b/>
      <u val="single"/>
      <sz val="12"/>
      <name val="Times New Roman"/>
      <family val="1"/>
    </font>
    <font>
      <b/>
      <sz val="12"/>
      <color indexed="10"/>
      <name val="Wingdings 3"/>
      <family val="1"/>
    </font>
    <font>
      <sz val="12"/>
      <color indexed="10"/>
      <name val="Wingdings 3"/>
      <family val="1"/>
    </font>
    <font>
      <b/>
      <sz val="12"/>
      <color indexed="9"/>
      <name val="Times New Roman"/>
      <family val="1"/>
    </font>
    <font>
      <i/>
      <sz val="10"/>
      <color indexed="12"/>
      <name val="Times New Roman"/>
      <family val="1"/>
    </font>
    <font>
      <b/>
      <i/>
      <sz val="10"/>
      <color indexed="12"/>
      <name val="Times New Roman"/>
      <family val="1"/>
    </font>
    <font>
      <b/>
      <sz val="8"/>
      <name val="Lucida Console"/>
      <family val="2"/>
    </font>
  </fonts>
  <fills count="14">
    <fill>
      <patternFill/>
    </fill>
    <fill>
      <patternFill patternType="gray125"/>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10"/>
        <bgColor indexed="64"/>
      </patternFill>
    </fill>
    <fill>
      <patternFill patternType="solid">
        <fgColor indexed="52"/>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11"/>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medium"/>
      <right style="medium"/>
      <top style="medium"/>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157">
    <xf numFmtId="0" fontId="0" fillId="0" borderId="0" xfId="0" applyAlignment="1">
      <alignment/>
    </xf>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right" wrapText="1"/>
    </xf>
    <xf numFmtId="0" fontId="2" fillId="0" borderId="0" xfId="0" applyFont="1" applyAlignment="1">
      <alignment horizontal="right" vertical="center"/>
    </xf>
    <xf numFmtId="0" fontId="2" fillId="2" borderId="1" xfId="0" applyFont="1" applyFill="1" applyBorder="1" applyAlignment="1">
      <alignment wrapText="1"/>
    </xf>
    <xf numFmtId="0" fontId="2" fillId="0" borderId="1" xfId="0" applyFont="1" applyBorder="1" applyAlignment="1">
      <alignment horizontal="center" vertical="center"/>
    </xf>
    <xf numFmtId="0" fontId="2" fillId="0" borderId="0" xfId="0" applyFont="1" applyAlignment="1">
      <alignment/>
    </xf>
    <xf numFmtId="0" fontId="6" fillId="0" borderId="0" xfId="2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xf>
    <xf numFmtId="0" fontId="2" fillId="0" borderId="0" xfId="0" applyNumberFormat="1" applyFont="1" applyAlignment="1">
      <alignment horizont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0" xfId="0" applyFont="1" applyAlignment="1">
      <alignment horizontal="center"/>
    </xf>
    <xf numFmtId="0" fontId="5" fillId="0" borderId="0" xfId="0" applyFont="1" applyFill="1" applyBorder="1" applyAlignment="1">
      <alignment horizontal="center" vertical="center"/>
    </xf>
    <xf numFmtId="0" fontId="2" fillId="2" borderId="1" xfId="0" applyNumberFormat="1" applyFont="1" applyFill="1" applyBorder="1" applyAlignment="1">
      <alignment horizontal="left" vertical="center" wrapText="1"/>
    </xf>
    <xf numFmtId="0" fontId="2" fillId="3" borderId="2" xfId="0"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2" fillId="0" borderId="0" xfId="0" applyFont="1" applyFill="1"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0" fillId="0" borderId="0" xfId="0" applyAlignment="1">
      <alignment horizontal="center"/>
    </xf>
    <xf numFmtId="0" fontId="8" fillId="0" borderId="0" xfId="0" applyFont="1" applyAlignment="1">
      <alignment/>
    </xf>
    <xf numFmtId="0" fontId="9" fillId="0" borderId="0" xfId="21" applyFill="1" applyAlignment="1">
      <alignment horizontal="center"/>
      <protection/>
    </xf>
    <xf numFmtId="0" fontId="9" fillId="0" borderId="0" xfId="21" applyFont="1" applyFill="1" applyAlignment="1">
      <alignment horizontal="right"/>
      <protection/>
    </xf>
    <xf numFmtId="49" fontId="2" fillId="0" borderId="0" xfId="0" applyNumberFormat="1" applyFont="1" applyAlignment="1">
      <alignment horizontal="center" vertical="center"/>
    </xf>
    <xf numFmtId="0" fontId="2" fillId="0" borderId="0" xfId="0" applyNumberFormat="1" applyFont="1" applyAlignment="1">
      <alignment horizontal="center" vertical="center"/>
    </xf>
    <xf numFmtId="0" fontId="8" fillId="0" borderId="0" xfId="0" applyFont="1" applyAlignment="1">
      <alignment horizontal="center"/>
    </xf>
    <xf numFmtId="0" fontId="6" fillId="2" borderId="1" xfId="20" applyFont="1" applyFill="1" applyBorder="1" applyAlignment="1">
      <alignment horizontal="center" vertical="center"/>
    </xf>
    <xf numFmtId="0" fontId="12" fillId="0" borderId="0" xfId="0" applyFont="1" applyAlignment="1">
      <alignment/>
    </xf>
    <xf numFmtId="0" fontId="2" fillId="0" borderId="0" xfId="0" applyFont="1" applyBorder="1" applyAlignment="1">
      <alignment/>
    </xf>
    <xf numFmtId="0" fontId="2" fillId="0" borderId="0" xfId="0" applyFont="1" applyBorder="1" applyAlignment="1">
      <alignment horizontal="left" vertical="center"/>
    </xf>
    <xf numFmtId="0" fontId="2" fillId="0" borderId="0" xfId="0" applyFont="1" applyFill="1" applyAlignment="1">
      <alignment horizontal="center"/>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horizontal="right"/>
    </xf>
    <xf numFmtId="0" fontId="12" fillId="0" borderId="0" xfId="0" applyFont="1" applyAlignment="1">
      <alignment horizontal="center"/>
    </xf>
    <xf numFmtId="0" fontId="2" fillId="0" borderId="0" xfId="21" applyFont="1" applyFill="1" applyAlignment="1">
      <alignment horizontal="right"/>
      <protection/>
    </xf>
    <xf numFmtId="0" fontId="2" fillId="0" borderId="0" xfId="21" applyFont="1" applyFill="1" applyAlignment="1" quotePrefix="1">
      <alignment horizontal="center"/>
      <protection/>
    </xf>
    <xf numFmtId="0" fontId="2" fillId="0" borderId="0" xfId="21" applyFont="1" applyFill="1" applyAlignment="1">
      <alignment horizontal="center"/>
      <protection/>
    </xf>
    <xf numFmtId="0" fontId="5" fillId="0" borderId="0" xfId="21" applyFont="1" applyFill="1" applyAlignment="1">
      <alignment horizontal="right"/>
      <protection/>
    </xf>
    <xf numFmtId="0" fontId="5" fillId="0" borderId="0" xfId="0" applyFont="1" applyAlignment="1">
      <alignment/>
    </xf>
    <xf numFmtId="0" fontId="2" fillId="0" borderId="1" xfId="0" applyFont="1" applyBorder="1" applyAlignment="1">
      <alignment horizontal="center"/>
    </xf>
    <xf numFmtId="0" fontId="2" fillId="0" borderId="3" xfId="0" applyFont="1" applyBorder="1" applyAlignment="1">
      <alignment horizontal="center"/>
    </xf>
    <xf numFmtId="0" fontId="12" fillId="0" borderId="0"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right"/>
    </xf>
    <xf numFmtId="0" fontId="12" fillId="0" borderId="0" xfId="0" applyFont="1" applyFill="1" applyBorder="1" applyAlignment="1">
      <alignment horizontal="center" vertical="center"/>
    </xf>
    <xf numFmtId="0" fontId="6" fillId="0" borderId="0" xfId="20" applyFont="1" applyAlignment="1">
      <alignment horizontal="center"/>
    </xf>
    <xf numFmtId="0" fontId="2" fillId="0" borderId="0" xfId="0" applyFont="1" applyAlignment="1">
      <alignment horizontal="left"/>
    </xf>
    <xf numFmtId="0" fontId="6" fillId="4" borderId="0" xfId="20" applyFont="1" applyFill="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8" fillId="0" borderId="0" xfId="0" applyFont="1" applyAlignment="1">
      <alignment horizontal="right"/>
    </xf>
    <xf numFmtId="0" fontId="12" fillId="0" borderId="0" xfId="0" applyFont="1" applyAlignment="1">
      <alignment horizontal="center" vertical="center"/>
    </xf>
    <xf numFmtId="0" fontId="12" fillId="0" borderId="0" xfId="0" applyNumberFormat="1" applyFont="1" applyAlignment="1">
      <alignment/>
    </xf>
    <xf numFmtId="0" fontId="6" fillId="2" borderId="4" xfId="20" applyFont="1" applyFill="1" applyBorder="1" applyAlignment="1">
      <alignment horizontal="center" vertical="center"/>
    </xf>
    <xf numFmtId="0" fontId="2" fillId="0" borderId="6" xfId="0" applyFont="1" applyFill="1" applyBorder="1" applyAlignment="1">
      <alignment wrapText="1"/>
    </xf>
    <xf numFmtId="0" fontId="6" fillId="0" borderId="6" xfId="20" applyFont="1" applyFill="1" applyBorder="1" applyAlignment="1">
      <alignment horizontal="center" vertical="center"/>
    </xf>
    <xf numFmtId="0" fontId="2" fillId="0" borderId="0" xfId="0" applyFont="1" applyFill="1" applyBorder="1" applyAlignment="1">
      <alignment/>
    </xf>
    <xf numFmtId="0" fontId="14" fillId="0" borderId="0" xfId="0" applyFont="1" applyAlignment="1">
      <alignment horizontal="left"/>
    </xf>
    <xf numFmtId="0" fontId="6" fillId="0" borderId="0" xfId="20" applyFont="1" applyFill="1" applyBorder="1" applyAlignment="1">
      <alignment horizontal="center" vertical="center"/>
    </xf>
    <xf numFmtId="0" fontId="12" fillId="0" borderId="0" xfId="0" applyFont="1" applyAlignment="1">
      <alignment horizontal="left"/>
    </xf>
    <xf numFmtId="0" fontId="15" fillId="0" borderId="0" xfId="0" applyFont="1" applyAlignment="1">
      <alignment horizontal="left"/>
    </xf>
    <xf numFmtId="0" fontId="2" fillId="3" borderId="1" xfId="0" applyFont="1" applyFill="1" applyBorder="1" applyAlignment="1">
      <alignment horizontal="center"/>
    </xf>
    <xf numFmtId="0" fontId="2" fillId="5" borderId="1" xfId="0" applyFont="1" applyFill="1" applyBorder="1" applyAlignment="1">
      <alignment horizontal="center" vertical="center"/>
    </xf>
    <xf numFmtId="0" fontId="2" fillId="5" borderId="1" xfId="0" applyFont="1" applyFill="1" applyBorder="1" applyAlignment="1">
      <alignment horizontal="center"/>
    </xf>
    <xf numFmtId="0" fontId="2" fillId="5" borderId="1" xfId="0" applyFont="1" applyFill="1" applyBorder="1" applyAlignment="1">
      <alignment horizontal="center" wrapText="1"/>
    </xf>
    <xf numFmtId="0" fontId="15" fillId="0" borderId="0" xfId="0" applyFont="1" applyAlignment="1">
      <alignment/>
    </xf>
    <xf numFmtId="0" fontId="0" fillId="0" borderId="0" xfId="20" applyFont="1" applyAlignment="1">
      <alignment/>
    </xf>
    <xf numFmtId="0" fontId="5" fillId="0" borderId="0" xfId="0" applyFont="1" applyAlignment="1">
      <alignment horizontal="center"/>
    </xf>
    <xf numFmtId="0" fontId="2" fillId="6" borderId="1" xfId="0" applyFont="1" applyFill="1" applyBorder="1" applyAlignment="1">
      <alignment horizontal="center"/>
    </xf>
    <xf numFmtId="0" fontId="2" fillId="0" borderId="0" xfId="0" applyFont="1" applyFill="1" applyBorder="1" applyAlignment="1">
      <alignment horizontal="center"/>
    </xf>
    <xf numFmtId="0" fontId="8" fillId="0" borderId="0" xfId="0" applyFont="1" applyFill="1" applyBorder="1" applyAlignment="1">
      <alignment/>
    </xf>
    <xf numFmtId="0" fontId="0" fillId="0" borderId="0" xfId="0" applyFill="1" applyBorder="1" applyAlignment="1">
      <alignment horizontal="center"/>
    </xf>
    <xf numFmtId="0" fontId="16" fillId="0" borderId="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0" xfId="0" applyFont="1" applyAlignment="1">
      <alignment horizontal="left"/>
    </xf>
    <xf numFmtId="0" fontId="2" fillId="0" borderId="0" xfId="0" applyFont="1" applyBorder="1" applyAlignment="1">
      <alignment horizontal="center"/>
    </xf>
    <xf numFmtId="0" fontId="8" fillId="0" borderId="0" xfId="0" applyFont="1" applyAlignment="1">
      <alignment horizontal="left"/>
    </xf>
    <xf numFmtId="0" fontId="18" fillId="0" borderId="0" xfId="0" applyFont="1" applyAlignment="1">
      <alignment horizontal="center"/>
    </xf>
    <xf numFmtId="0" fontId="12" fillId="0" borderId="0" xfId="0" applyFont="1" applyBorder="1" applyAlignment="1">
      <alignment horizontal="center"/>
    </xf>
    <xf numFmtId="0" fontId="2" fillId="7" borderId="4" xfId="0" applyFont="1" applyFill="1" applyBorder="1" applyAlignment="1">
      <alignment horizontal="center"/>
    </xf>
    <xf numFmtId="0" fontId="2" fillId="7" borderId="1" xfId="0" applyFont="1" applyFill="1" applyBorder="1" applyAlignment="1">
      <alignment horizontal="center"/>
    </xf>
    <xf numFmtId="0" fontId="2" fillId="8" borderId="1" xfId="0" applyFont="1" applyFill="1" applyBorder="1" applyAlignment="1">
      <alignment horizontal="center"/>
    </xf>
    <xf numFmtId="0" fontId="12" fillId="0" borderId="0" xfId="0" applyFont="1" applyFill="1" applyBorder="1" applyAlignment="1">
      <alignment/>
    </xf>
    <xf numFmtId="0" fontId="12" fillId="0" borderId="0" xfId="0" applyFont="1" applyFill="1" applyBorder="1" applyAlignment="1">
      <alignment horizontal="center"/>
    </xf>
    <xf numFmtId="0" fontId="12" fillId="0" borderId="0" xfId="20" applyFont="1" applyAlignment="1">
      <alignment horizontal="center" vertical="center"/>
    </xf>
    <xf numFmtId="0" fontId="13" fillId="0" borderId="0" xfId="0" applyFont="1" applyFill="1" applyBorder="1" applyAlignment="1">
      <alignment/>
    </xf>
    <xf numFmtId="0" fontId="2" fillId="9" borderId="1" xfId="0" applyFont="1" applyFill="1" applyBorder="1" applyAlignment="1">
      <alignment horizontal="center"/>
    </xf>
    <xf numFmtId="0" fontId="2" fillId="10" borderId="1" xfId="0" applyFont="1" applyFill="1" applyBorder="1" applyAlignment="1">
      <alignment horizontal="center"/>
    </xf>
    <xf numFmtId="0" fontId="2" fillId="11" borderId="1" xfId="0" applyFont="1" applyFill="1" applyBorder="1" applyAlignment="1">
      <alignment horizontal="center"/>
    </xf>
    <xf numFmtId="0" fontId="2" fillId="12" borderId="1" xfId="0" applyFont="1" applyFill="1" applyBorder="1" applyAlignment="1">
      <alignment horizontal="center"/>
    </xf>
    <xf numFmtId="0" fontId="17" fillId="0" borderId="0" xfId="0" applyFont="1" applyAlignment="1">
      <alignment/>
    </xf>
    <xf numFmtId="0" fontId="14" fillId="0" borderId="0" xfId="0" applyFont="1" applyAlignment="1">
      <alignment/>
    </xf>
    <xf numFmtId="49" fontId="2" fillId="0" borderId="0" xfId="0" applyNumberFormat="1" applyFont="1" applyAlignment="1">
      <alignment horizontal="center"/>
    </xf>
    <xf numFmtId="49" fontId="2" fillId="0" borderId="0" xfId="0" applyNumberFormat="1" applyFont="1" applyBorder="1" applyAlignment="1">
      <alignment horizontal="center"/>
    </xf>
    <xf numFmtId="49" fontId="12" fillId="0" borderId="0" xfId="0" applyNumberFormat="1" applyFont="1" applyAlignment="1">
      <alignment horizontal="center"/>
    </xf>
    <xf numFmtId="49" fontId="12" fillId="0" borderId="0" xfId="0" applyNumberFormat="1" applyFont="1" applyBorder="1" applyAlignment="1">
      <alignment horizontal="center"/>
    </xf>
    <xf numFmtId="0" fontId="12" fillId="0" borderId="0" xfId="0" applyNumberFormat="1" applyFont="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right"/>
    </xf>
    <xf numFmtId="0" fontId="8" fillId="0" borderId="0" xfId="0" applyFont="1" applyFill="1" applyBorder="1" applyAlignment="1">
      <alignment horizontal="center"/>
    </xf>
    <xf numFmtId="0" fontId="8" fillId="0" borderId="0" xfId="0" applyFont="1" applyFill="1" applyBorder="1" applyAlignment="1">
      <alignment horizontal="left"/>
    </xf>
    <xf numFmtId="0" fontId="0" fillId="0" borderId="0" xfId="0" applyFill="1" applyBorder="1" applyAlignment="1">
      <alignment/>
    </xf>
    <xf numFmtId="0" fontId="17" fillId="0" borderId="0" xfId="0" applyFont="1" applyFill="1" applyBorder="1" applyAlignment="1">
      <alignment/>
    </xf>
    <xf numFmtId="0" fontId="14" fillId="0" borderId="0" xfId="0" applyFont="1" applyFill="1" applyBorder="1" applyAlignment="1">
      <alignment/>
    </xf>
    <xf numFmtId="0" fontId="2" fillId="13" borderId="1" xfId="0" applyFont="1" applyFill="1" applyBorder="1" applyAlignment="1">
      <alignment horizont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5" fillId="0" borderId="0" xfId="0" applyFont="1" applyFill="1" applyBorder="1" applyAlignment="1">
      <alignment/>
    </xf>
    <xf numFmtId="0" fontId="20" fillId="2" borderId="1" xfId="20" applyFont="1" applyFill="1" applyBorder="1" applyAlignment="1">
      <alignment wrapText="1"/>
    </xf>
    <xf numFmtId="0" fontId="2" fillId="2" borderId="4" xfId="0" applyFont="1" applyFill="1" applyBorder="1" applyAlignment="1">
      <alignment/>
    </xf>
    <xf numFmtId="0" fontId="5" fillId="2" borderId="5" xfId="0" applyFont="1" applyFill="1" applyBorder="1" applyAlignment="1">
      <alignment wrapText="1"/>
    </xf>
    <xf numFmtId="0" fontId="6" fillId="0" borderId="4" xfId="20" applyFont="1" applyFill="1" applyBorder="1" applyAlignment="1">
      <alignment vertical="center"/>
    </xf>
    <xf numFmtId="0" fontId="6" fillId="0" borderId="5" xfId="20" applyFont="1" applyFill="1" applyBorder="1" applyAlignment="1">
      <alignment vertical="center"/>
    </xf>
    <xf numFmtId="0" fontId="6" fillId="0" borderId="3" xfId="20" applyFont="1" applyFill="1" applyBorder="1" applyAlignment="1">
      <alignment vertical="center"/>
    </xf>
    <xf numFmtId="0" fontId="17" fillId="0" borderId="0" xfId="0" applyFont="1" applyFill="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left"/>
    </xf>
    <xf numFmtId="0" fontId="2" fillId="3" borderId="1" xfId="0" applyFont="1" applyFill="1" applyBorder="1" applyAlignment="1">
      <alignment horizontal="center" vertical="center"/>
    </xf>
    <xf numFmtId="0" fontId="6" fillId="2" borderId="4" xfId="20" applyFont="1" applyFill="1" applyBorder="1" applyAlignment="1">
      <alignment horizontal="center" vertical="center"/>
    </xf>
    <xf numFmtId="0" fontId="0" fillId="0" borderId="5" xfId="0" applyBorder="1" applyAlignment="1">
      <alignment horizontal="center" vertical="center"/>
    </xf>
    <xf numFmtId="0" fontId="2" fillId="2" borderId="7" xfId="0" applyFont="1" applyFill="1" applyBorder="1" applyAlignment="1">
      <alignment wrapText="1"/>
    </xf>
    <xf numFmtId="0" fontId="0" fillId="0" borderId="3" xfId="0" applyBorder="1" applyAlignment="1">
      <alignment/>
    </xf>
    <xf numFmtId="0" fontId="0" fillId="0" borderId="8" xfId="0" applyBorder="1" applyAlignment="1">
      <alignment/>
    </xf>
    <xf numFmtId="0" fontId="2" fillId="2" borderId="9" xfId="0" applyFont="1" applyFill="1" applyBorder="1" applyAlignment="1">
      <alignment wrapText="1"/>
    </xf>
    <xf numFmtId="0" fontId="0" fillId="0" borderId="6"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2" fillId="4" borderId="0" xfId="0" applyFont="1" applyFill="1" applyAlignment="1">
      <alignment wrapText="1"/>
    </xf>
    <xf numFmtId="0" fontId="0" fillId="4" borderId="0" xfId="0" applyFill="1" applyAlignment="1">
      <alignment wrapText="1"/>
    </xf>
    <xf numFmtId="0" fontId="2" fillId="0" borderId="3" xfId="0" applyFont="1" applyBorder="1" applyAlignment="1">
      <alignment/>
    </xf>
    <xf numFmtId="0" fontId="2" fillId="0" borderId="8" xfId="0" applyFont="1" applyBorder="1" applyAlignment="1">
      <alignment/>
    </xf>
    <xf numFmtId="0" fontId="2" fillId="2" borderId="7" xfId="0" applyFont="1" applyFill="1" applyBorder="1" applyAlignment="1">
      <alignment horizontal="left" vertical="center"/>
    </xf>
    <xf numFmtId="0" fontId="2" fillId="2" borderId="3" xfId="0" applyFont="1" applyFill="1" applyBorder="1" applyAlignment="1">
      <alignment horizontal="left"/>
    </xf>
    <xf numFmtId="0" fontId="2" fillId="2" borderId="8" xfId="0" applyFont="1" applyFill="1" applyBorder="1" applyAlignment="1">
      <alignment horizontal="left"/>
    </xf>
    <xf numFmtId="0" fontId="2" fillId="4" borderId="0" xfId="0" applyFont="1" applyFill="1" applyAlignment="1">
      <alignment vertical="top" wrapText="1"/>
    </xf>
    <xf numFmtId="0" fontId="0" fillId="4" borderId="0" xfId="0" applyFill="1" applyAlignment="1">
      <alignment/>
    </xf>
    <xf numFmtId="0" fontId="2" fillId="0" borderId="6" xfId="0" applyFont="1" applyBorder="1" applyAlignment="1">
      <alignment/>
    </xf>
    <xf numFmtId="0" fontId="2" fillId="0" borderId="10" xfId="0" applyFont="1" applyBorder="1" applyAlignment="1">
      <alignment/>
    </xf>
    <xf numFmtId="0" fontId="2" fillId="2" borderId="7" xfId="0" applyFont="1" applyFill="1" applyBorder="1" applyAlignment="1">
      <alignment/>
    </xf>
    <xf numFmtId="0" fontId="2" fillId="0" borderId="7" xfId="0" applyFont="1"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2" borderId="3" xfId="0" applyFill="1" applyBorder="1" applyAlignment="1">
      <alignment/>
    </xf>
    <xf numFmtId="0" fontId="0" fillId="2" borderId="8" xfId="0" applyFill="1" applyBorder="1" applyAlignment="1">
      <alignment/>
    </xf>
    <xf numFmtId="0" fontId="2" fillId="0" borderId="1" xfId="0" applyFont="1" applyFill="1" applyBorder="1" applyAlignment="1">
      <alignment horizontal="center"/>
    </xf>
    <xf numFmtId="0" fontId="5" fillId="2" borderId="1" xfId="0" applyFont="1" applyFill="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Comb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sjgames.com/gurps/" TargetMode="External" /><Relationship Id="rId3" Type="http://schemas.openxmlformats.org/officeDocument/2006/relationships/hyperlink" Target="http://www.sjgames.com/gurp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0.emf" /></Relationships>
</file>

<file path=xl/drawings/_rels/drawing9.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1895475</xdr:colOff>
      <xdr:row>8</xdr:row>
      <xdr:rowOff>66675</xdr:rowOff>
    </xdr:from>
    <xdr:to>
      <xdr:col>2</xdr:col>
      <xdr:colOff>5238750</xdr:colOff>
      <xdr:row>11</xdr:row>
      <xdr:rowOff>161925</xdr:rowOff>
    </xdr:to>
    <xdr:pic>
      <xdr:nvPicPr>
        <xdr:cNvPr id="1" name="Picture 1">
          <a:hlinkClick r:id="rId3"/>
        </xdr:cNvPr>
        <xdr:cNvPicPr preferRelativeResize="1">
          <a:picLocks noChangeAspect="1"/>
        </xdr:cNvPicPr>
      </xdr:nvPicPr>
      <xdr:blipFill>
        <a:blip r:embed="rId1"/>
        <a:stretch>
          <a:fillRect/>
        </a:stretch>
      </xdr:blipFill>
      <xdr:spPr>
        <a:xfrm>
          <a:off x="2476500" y="5934075"/>
          <a:ext cx="33337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371475</xdr:colOff>
      <xdr:row>4</xdr:row>
      <xdr:rowOff>76200</xdr:rowOff>
    </xdr:from>
    <xdr:to>
      <xdr:col>4</xdr:col>
      <xdr:colOff>1114425</xdr:colOff>
      <xdr:row>5</xdr:row>
      <xdr:rowOff>114300</xdr:rowOff>
    </xdr:to>
    <xdr:pic>
      <xdr:nvPicPr>
        <xdr:cNvPr id="1" name="CommandButton1"/>
        <xdr:cNvPicPr preferRelativeResize="1">
          <a:picLocks noChangeAspect="1"/>
        </xdr:cNvPicPr>
      </xdr:nvPicPr>
      <xdr:blipFill>
        <a:blip r:embed="rId1"/>
        <a:stretch>
          <a:fillRect/>
        </a:stretch>
      </xdr:blipFill>
      <xdr:spPr>
        <a:xfrm>
          <a:off x="3848100" y="885825"/>
          <a:ext cx="7429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371475</xdr:colOff>
      <xdr:row>7</xdr:row>
      <xdr:rowOff>76200</xdr:rowOff>
    </xdr:from>
    <xdr:to>
      <xdr:col>4</xdr:col>
      <xdr:colOff>1114425</xdr:colOff>
      <xdr:row>8</xdr:row>
      <xdr:rowOff>114300</xdr:rowOff>
    </xdr:to>
    <xdr:pic>
      <xdr:nvPicPr>
        <xdr:cNvPr id="1" name="CommandButton1"/>
        <xdr:cNvPicPr preferRelativeResize="1">
          <a:picLocks noChangeAspect="1"/>
        </xdr:cNvPicPr>
      </xdr:nvPicPr>
      <xdr:blipFill>
        <a:blip r:embed="rId1"/>
        <a:stretch>
          <a:fillRect/>
        </a:stretch>
      </xdr:blipFill>
      <xdr:spPr>
        <a:xfrm>
          <a:off x="3848100" y="1685925"/>
          <a:ext cx="742950"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371475</xdr:colOff>
      <xdr:row>9</xdr:row>
      <xdr:rowOff>76200</xdr:rowOff>
    </xdr:from>
    <xdr:to>
      <xdr:col>4</xdr:col>
      <xdr:colOff>1114425</xdr:colOff>
      <xdr:row>10</xdr:row>
      <xdr:rowOff>114300</xdr:rowOff>
    </xdr:to>
    <xdr:pic>
      <xdr:nvPicPr>
        <xdr:cNvPr id="1" name="CommandButton1"/>
        <xdr:cNvPicPr preferRelativeResize="1">
          <a:picLocks noChangeAspect="1"/>
        </xdr:cNvPicPr>
      </xdr:nvPicPr>
      <xdr:blipFill>
        <a:blip r:embed="rId1"/>
        <a:stretch>
          <a:fillRect/>
        </a:stretch>
      </xdr:blipFill>
      <xdr:spPr>
        <a:xfrm>
          <a:off x="3848100" y="2085975"/>
          <a:ext cx="742950"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8</xdr:row>
      <xdr:rowOff>57150</xdr:rowOff>
    </xdr:from>
    <xdr:to>
      <xdr:col>7</xdr:col>
      <xdr:colOff>9525</xdr:colOff>
      <xdr:row>9</xdr:row>
      <xdr:rowOff>142875</xdr:rowOff>
    </xdr:to>
    <xdr:pic>
      <xdr:nvPicPr>
        <xdr:cNvPr id="1" name="CommandButton1"/>
        <xdr:cNvPicPr preferRelativeResize="1">
          <a:picLocks noChangeAspect="1"/>
        </xdr:cNvPicPr>
      </xdr:nvPicPr>
      <xdr:blipFill>
        <a:blip r:embed="rId1"/>
        <a:stretch>
          <a:fillRect/>
        </a:stretch>
      </xdr:blipFill>
      <xdr:spPr>
        <a:xfrm>
          <a:off x="5010150" y="2676525"/>
          <a:ext cx="742950" cy="285750"/>
        </a:xfrm>
        <a:prstGeom prst="rect">
          <a:avLst/>
        </a:prstGeom>
        <a:noFill/>
        <a:ln w="9525" cmpd="sng">
          <a:noFill/>
        </a:ln>
      </xdr:spPr>
    </xdr:pic>
    <xdr:clientData/>
  </xdr:twoCellAnchor>
  <xdr:twoCellAnchor editAs="oneCell">
    <xdr:from>
      <xdr:col>8</xdr:col>
      <xdr:colOff>361950</xdr:colOff>
      <xdr:row>8</xdr:row>
      <xdr:rowOff>57150</xdr:rowOff>
    </xdr:from>
    <xdr:to>
      <xdr:col>8</xdr:col>
      <xdr:colOff>1104900</xdr:colOff>
      <xdr:row>9</xdr:row>
      <xdr:rowOff>142875</xdr:rowOff>
    </xdr:to>
    <xdr:pic>
      <xdr:nvPicPr>
        <xdr:cNvPr id="2" name="CommandButton2"/>
        <xdr:cNvPicPr preferRelativeResize="1">
          <a:picLocks noChangeAspect="1"/>
        </xdr:cNvPicPr>
      </xdr:nvPicPr>
      <xdr:blipFill>
        <a:blip r:embed="rId2"/>
        <a:stretch>
          <a:fillRect/>
        </a:stretch>
      </xdr:blipFill>
      <xdr:spPr>
        <a:xfrm>
          <a:off x="6191250" y="2676525"/>
          <a:ext cx="742950"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390525</xdr:colOff>
      <xdr:row>13</xdr:row>
      <xdr:rowOff>76200</xdr:rowOff>
    </xdr:from>
    <xdr:to>
      <xdr:col>4</xdr:col>
      <xdr:colOff>1133475</xdr:colOff>
      <xdr:row>14</xdr:row>
      <xdr:rowOff>114300</xdr:rowOff>
    </xdr:to>
    <xdr:pic>
      <xdr:nvPicPr>
        <xdr:cNvPr id="1" name="CommandButton1"/>
        <xdr:cNvPicPr preferRelativeResize="1">
          <a:picLocks noChangeAspect="1"/>
        </xdr:cNvPicPr>
      </xdr:nvPicPr>
      <xdr:blipFill>
        <a:blip r:embed="rId1"/>
        <a:stretch>
          <a:fillRect/>
        </a:stretch>
      </xdr:blipFill>
      <xdr:spPr>
        <a:xfrm>
          <a:off x="3867150" y="3076575"/>
          <a:ext cx="742950" cy="238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685800</xdr:colOff>
      <xdr:row>8</xdr:row>
      <xdr:rowOff>38100</xdr:rowOff>
    </xdr:from>
    <xdr:to>
      <xdr:col>8</xdr:col>
      <xdr:colOff>1428750</xdr:colOff>
      <xdr:row>9</xdr:row>
      <xdr:rowOff>76200</xdr:rowOff>
    </xdr:to>
    <xdr:pic>
      <xdr:nvPicPr>
        <xdr:cNvPr id="1" name="CommandButton1"/>
        <xdr:cNvPicPr preferRelativeResize="1">
          <a:picLocks noChangeAspect="1"/>
        </xdr:cNvPicPr>
      </xdr:nvPicPr>
      <xdr:blipFill>
        <a:blip r:embed="rId1"/>
        <a:stretch>
          <a:fillRect/>
        </a:stretch>
      </xdr:blipFill>
      <xdr:spPr>
        <a:xfrm>
          <a:off x="6515100" y="3248025"/>
          <a:ext cx="742950"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685800</xdr:colOff>
      <xdr:row>10</xdr:row>
      <xdr:rowOff>28575</xdr:rowOff>
    </xdr:from>
    <xdr:to>
      <xdr:col>8</xdr:col>
      <xdr:colOff>1428750</xdr:colOff>
      <xdr:row>11</xdr:row>
      <xdr:rowOff>66675</xdr:rowOff>
    </xdr:to>
    <xdr:pic>
      <xdr:nvPicPr>
        <xdr:cNvPr id="1" name="CommandButton1"/>
        <xdr:cNvPicPr preferRelativeResize="1">
          <a:picLocks noChangeAspect="1"/>
        </xdr:cNvPicPr>
      </xdr:nvPicPr>
      <xdr:blipFill>
        <a:blip r:embed="rId1"/>
        <a:stretch>
          <a:fillRect/>
        </a:stretch>
      </xdr:blipFill>
      <xdr:spPr>
        <a:xfrm>
          <a:off x="6515100" y="4248150"/>
          <a:ext cx="742950"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390525</xdr:colOff>
      <xdr:row>10</xdr:row>
      <xdr:rowOff>76200</xdr:rowOff>
    </xdr:from>
    <xdr:to>
      <xdr:col>4</xdr:col>
      <xdr:colOff>1133475</xdr:colOff>
      <xdr:row>11</xdr:row>
      <xdr:rowOff>114300</xdr:rowOff>
    </xdr:to>
    <xdr:pic>
      <xdr:nvPicPr>
        <xdr:cNvPr id="1" name="CommandButton1"/>
        <xdr:cNvPicPr preferRelativeResize="1">
          <a:picLocks noChangeAspect="1"/>
        </xdr:cNvPicPr>
      </xdr:nvPicPr>
      <xdr:blipFill>
        <a:blip r:embed="rId1"/>
        <a:stretch>
          <a:fillRect/>
        </a:stretch>
      </xdr:blipFill>
      <xdr:spPr>
        <a:xfrm>
          <a:off x="3867150" y="4086225"/>
          <a:ext cx="7429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jgames.com/general/online_policy.html" TargetMode="External" /><Relationship Id="rId2" Type="http://schemas.openxmlformats.org/officeDocument/2006/relationships/hyperlink" Target="http://www.themook.net/rpg/index.php?id=spreadsheet" TargetMode="External" /><Relationship Id="rId3" Type="http://schemas.openxmlformats.org/officeDocument/2006/relationships/hyperlink" Target="http://www.themook.net/rpg/example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sjgames.com/gurps/faq/FAQ4-3.html#SS3.4.2.23"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5.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5.x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3"/>
  <dimension ref="A1:J26"/>
  <sheetViews>
    <sheetView tabSelected="1" workbookViewId="0" topLeftCell="A1">
      <selection activeCell="A1" sqref="A1"/>
    </sheetView>
  </sheetViews>
  <sheetFormatPr defaultColWidth="8.796875" defaultRowHeight="15"/>
  <cols>
    <col min="1" max="1" width="5.19921875" style="0" customWidth="1"/>
    <col min="2" max="2" width="0.8984375" style="0" customWidth="1"/>
    <col min="3" max="3" width="78.5" style="0" customWidth="1"/>
    <col min="4" max="4" width="0.8984375" style="0" customWidth="1"/>
    <col min="5" max="5" width="7.69921875" style="0" customWidth="1"/>
    <col min="6" max="6" width="0.8984375" style="0" customWidth="1"/>
    <col min="7" max="7" width="15.5" style="21" customWidth="1"/>
    <col min="8" max="9" width="7.69921875" style="0" customWidth="1"/>
  </cols>
  <sheetData>
    <row r="1" spans="1:10" ht="15.75">
      <c r="A1" s="65"/>
      <c r="B1" s="65"/>
      <c r="C1" s="116" t="s">
        <v>0</v>
      </c>
      <c r="D1" s="65"/>
      <c r="E1" s="65"/>
      <c r="F1" s="65"/>
      <c r="G1" s="25"/>
      <c r="H1" s="22"/>
      <c r="I1" s="22"/>
      <c r="J1" s="7"/>
    </row>
    <row r="2" spans="1:10" ht="238.5" customHeight="1">
      <c r="A2" s="17"/>
      <c r="B2" s="65"/>
      <c r="C2" s="114" t="s">
        <v>6</v>
      </c>
      <c r="D2" s="65"/>
      <c r="E2" s="127" t="s">
        <v>43</v>
      </c>
      <c r="F2" s="65"/>
      <c r="G2" s="17"/>
      <c r="H2" s="22"/>
      <c r="I2" s="65"/>
      <c r="J2" s="7"/>
    </row>
    <row r="3" spans="1:10" ht="104.25" customHeight="1">
      <c r="A3" s="17"/>
      <c r="B3" s="65"/>
      <c r="C3" s="115" t="s">
        <v>5</v>
      </c>
      <c r="D3" s="65"/>
      <c r="E3" s="128"/>
      <c r="F3" s="65"/>
      <c r="G3" s="17"/>
      <c r="H3" s="65"/>
      <c r="I3" s="65"/>
      <c r="J3" s="7"/>
    </row>
    <row r="4" spans="1:10" ht="15.75">
      <c r="A4" s="17"/>
      <c r="B4" s="65"/>
      <c r="C4" s="46" t="s">
        <v>7</v>
      </c>
      <c r="D4" s="65"/>
      <c r="E4" s="67"/>
      <c r="F4" s="65"/>
      <c r="G4" s="17"/>
      <c r="H4" s="65"/>
      <c r="I4" s="65"/>
      <c r="J4" s="7"/>
    </row>
    <row r="5" spans="1:10" ht="15.75">
      <c r="A5" s="17"/>
      <c r="B5" s="65"/>
      <c r="C5" s="120" t="s">
        <v>1</v>
      </c>
      <c r="D5" s="65"/>
      <c r="E5" s="67"/>
      <c r="F5" s="65"/>
      <c r="G5" s="17"/>
      <c r="H5" s="65"/>
      <c r="I5" s="65"/>
      <c r="J5" s="7"/>
    </row>
    <row r="6" spans="1:10" ht="15.75">
      <c r="A6" s="17"/>
      <c r="B6" s="65"/>
      <c r="C6" s="121" t="s">
        <v>2</v>
      </c>
      <c r="D6" s="65"/>
      <c r="E6" s="22"/>
      <c r="F6" s="65"/>
      <c r="G6" s="65"/>
      <c r="H6" s="65"/>
      <c r="I6" s="65"/>
      <c r="J6" s="7"/>
    </row>
    <row r="7" spans="1:10" ht="15.75">
      <c r="A7" s="17"/>
      <c r="B7" s="65"/>
      <c r="C7" s="122"/>
      <c r="D7" s="65"/>
      <c r="E7" s="22"/>
      <c r="F7" s="65"/>
      <c r="G7" s="65"/>
      <c r="H7" s="65"/>
      <c r="I7" s="65"/>
      <c r="J7" s="7"/>
    </row>
    <row r="8" spans="1:10" ht="40.5">
      <c r="A8" s="65"/>
      <c r="B8" s="65"/>
      <c r="C8" s="117" t="s">
        <v>492</v>
      </c>
      <c r="D8" s="65"/>
      <c r="E8" s="65"/>
      <c r="F8" s="65"/>
      <c r="G8" s="65"/>
      <c r="H8" s="65"/>
      <c r="I8" s="65"/>
      <c r="J8" s="7"/>
    </row>
    <row r="9" spans="1:10" ht="6" customHeight="1">
      <c r="A9" s="65"/>
      <c r="B9" s="65"/>
      <c r="C9" s="65"/>
      <c r="D9" s="65"/>
      <c r="E9" s="65"/>
      <c r="F9" s="65"/>
      <c r="G9" s="65"/>
      <c r="H9" s="65"/>
      <c r="I9" s="65"/>
      <c r="J9" s="7"/>
    </row>
    <row r="10" spans="1:10" ht="15.75">
      <c r="A10" s="65"/>
      <c r="B10" s="65"/>
      <c r="C10" s="65"/>
      <c r="D10" s="65"/>
      <c r="E10" s="65"/>
      <c r="F10" s="65"/>
      <c r="G10" s="65"/>
      <c r="H10" s="65"/>
      <c r="I10" s="65"/>
      <c r="J10" s="7"/>
    </row>
    <row r="11" spans="1:10" ht="15.75">
      <c r="A11" s="65"/>
      <c r="B11" s="65"/>
      <c r="C11" s="65"/>
      <c r="D11" s="65"/>
      <c r="E11" s="65"/>
      <c r="F11" s="65"/>
      <c r="G11" s="65"/>
      <c r="H11" s="65"/>
      <c r="I11" s="65"/>
      <c r="J11" s="7"/>
    </row>
    <row r="12" spans="1:10" ht="15.75">
      <c r="A12" s="65"/>
      <c r="B12" s="65"/>
      <c r="C12" s="65"/>
      <c r="D12" s="65"/>
      <c r="E12" s="65"/>
      <c r="F12" s="65"/>
      <c r="G12" s="65"/>
      <c r="H12" s="65"/>
      <c r="I12" s="65"/>
      <c r="J12" s="7"/>
    </row>
    <row r="13" spans="1:10" ht="15.75">
      <c r="A13" s="65"/>
      <c r="B13" s="65"/>
      <c r="C13" s="65"/>
      <c r="D13" s="65"/>
      <c r="E13" s="65"/>
      <c r="F13" s="65"/>
      <c r="G13" s="65"/>
      <c r="H13" s="65"/>
      <c r="I13" s="65"/>
      <c r="J13" s="7"/>
    </row>
    <row r="14" spans="1:10" ht="15.75">
      <c r="A14" s="65"/>
      <c r="B14" s="65"/>
      <c r="C14" s="65"/>
      <c r="D14" s="65"/>
      <c r="E14" s="65"/>
      <c r="F14" s="65"/>
      <c r="G14" s="65"/>
      <c r="H14" s="65"/>
      <c r="I14" s="65"/>
      <c r="J14" s="7"/>
    </row>
    <row r="15" spans="1:10" ht="15.75">
      <c r="A15" s="65"/>
      <c r="B15" s="65"/>
      <c r="C15" s="65"/>
      <c r="D15" s="65"/>
      <c r="E15" s="65"/>
      <c r="F15" s="65"/>
      <c r="G15" s="65"/>
      <c r="H15" s="65"/>
      <c r="I15" s="65"/>
      <c r="J15" s="7"/>
    </row>
    <row r="16" spans="1:10" ht="15.75">
      <c r="A16" s="65"/>
      <c r="B16" s="65"/>
      <c r="C16" s="65"/>
      <c r="D16" s="65"/>
      <c r="E16" s="65"/>
      <c r="F16" s="65"/>
      <c r="G16" s="65"/>
      <c r="H16" s="65"/>
      <c r="I16" s="65"/>
      <c r="J16" s="7"/>
    </row>
    <row r="17" spans="1:10" ht="15.75">
      <c r="A17" s="7"/>
      <c r="B17" s="7"/>
      <c r="C17" s="7"/>
      <c r="D17" s="7"/>
      <c r="E17" s="7"/>
      <c r="F17" s="7"/>
      <c r="G17" s="7"/>
      <c r="H17" s="7"/>
      <c r="I17" s="7"/>
      <c r="J17" s="7"/>
    </row>
    <row r="18" spans="1:10" ht="15.75">
      <c r="A18" s="7"/>
      <c r="B18" s="7"/>
      <c r="C18" s="7"/>
      <c r="D18" s="7"/>
      <c r="E18" s="7"/>
      <c r="F18" s="7"/>
      <c r="G18" s="7"/>
      <c r="H18" s="7"/>
      <c r="I18" s="7"/>
      <c r="J18" s="7"/>
    </row>
    <row r="19" spans="1:10" ht="15.75">
      <c r="A19" s="7"/>
      <c r="B19" s="7"/>
      <c r="C19" s="7"/>
      <c r="D19" s="7"/>
      <c r="E19" s="7"/>
      <c r="F19" s="7"/>
      <c r="G19" s="7"/>
      <c r="H19" s="7"/>
      <c r="I19" s="7"/>
      <c r="J19" s="7"/>
    </row>
    <row r="20" spans="1:10" ht="15.75">
      <c r="A20" s="7"/>
      <c r="B20" s="7"/>
      <c r="C20" s="7"/>
      <c r="D20" s="7"/>
      <c r="E20" s="7"/>
      <c r="F20" s="7"/>
      <c r="G20" s="7"/>
      <c r="H20" s="7"/>
      <c r="I20" s="7"/>
      <c r="J20" s="7"/>
    </row>
    <row r="21" spans="1:10" ht="15.75">
      <c r="A21" s="7"/>
      <c r="B21" s="7"/>
      <c r="C21" s="7"/>
      <c r="D21" s="7"/>
      <c r="E21" s="7"/>
      <c r="F21" s="7"/>
      <c r="G21" s="7"/>
      <c r="H21" s="7"/>
      <c r="I21" s="7"/>
      <c r="J21" s="7"/>
    </row>
    <row r="22" spans="1:10" ht="15.75">
      <c r="A22" s="7"/>
      <c r="B22" s="7"/>
      <c r="C22" s="7"/>
      <c r="D22" s="7"/>
      <c r="E22" s="7"/>
      <c r="F22" s="7"/>
      <c r="G22" s="7"/>
      <c r="H22" s="7"/>
      <c r="I22" s="7"/>
      <c r="J22" s="7"/>
    </row>
    <row r="23" spans="1:10" ht="15.75">
      <c r="A23" s="7"/>
      <c r="B23" s="7"/>
      <c r="C23" s="7"/>
      <c r="D23" s="7"/>
      <c r="E23" s="7"/>
      <c r="F23" s="7"/>
      <c r="G23" s="7"/>
      <c r="H23" s="7"/>
      <c r="I23" s="7"/>
      <c r="J23" s="7"/>
    </row>
    <row r="24" spans="1:10" ht="15.75">
      <c r="A24" s="7"/>
      <c r="B24" s="7"/>
      <c r="C24" s="7"/>
      <c r="D24" s="7"/>
      <c r="E24" s="7"/>
      <c r="F24" s="7"/>
      <c r="G24" s="7"/>
      <c r="H24" s="7"/>
      <c r="I24" s="7"/>
      <c r="J24" s="7"/>
    </row>
    <row r="25" spans="1:10" ht="15.75">
      <c r="A25" s="7"/>
      <c r="B25" s="7"/>
      <c r="C25" s="7"/>
      <c r="D25" s="7"/>
      <c r="E25" s="7"/>
      <c r="F25" s="7"/>
      <c r="G25" s="7"/>
      <c r="H25" s="7"/>
      <c r="I25" s="7"/>
      <c r="J25" s="7"/>
    </row>
    <row r="26" spans="1:10" ht="15.75">
      <c r="A26" s="7"/>
      <c r="B26" s="7"/>
      <c r="C26" s="7"/>
      <c r="D26" s="7"/>
      <c r="E26" s="7"/>
      <c r="F26" s="7"/>
      <c r="G26" s="7"/>
      <c r="H26" s="7"/>
      <c r="I26" s="7"/>
      <c r="J26" s="7"/>
    </row>
  </sheetData>
  <mergeCells count="1">
    <mergeCell ref="E2:E3"/>
  </mergeCells>
  <dataValidations count="1">
    <dataValidation allowBlank="1" showErrorMessage="1" promptTitle="Unmodified Weapon Skill" prompt="Select your Unmodified Weapon Skill from the range 0 to 35." sqref="E4:E7"/>
  </dataValidations>
  <hyperlinks>
    <hyperlink ref="C8" r:id="rId1" display="GURPS is a trademark of Steve Jackson Games, and its rules and art are copyrighted by Steve Jackson Games. All rights are reserved by Steve Jackson Games. This game aid is the original creation of Warren &quot;Mook&quot; Wilson and is released for free distribution"/>
    <hyperlink ref="C5" r:id="rId2" display="Combat Spreadsheet Home Page"/>
    <hyperlink ref="C6" r:id="rId3" display="GURPS Combat Examples"/>
    <hyperlink ref="E2" location="'1'!A1" display="[1]"/>
  </hyperlinks>
  <printOptions/>
  <pageMargins left="0.75" right="0.75" top="1" bottom="1" header="0.5" footer="0.5"/>
  <pageSetup horizontalDpi="300" verticalDpi="300" orientation="portrait" r:id="rId5"/>
  <drawing r:id="rId4"/>
</worksheet>
</file>

<file path=xl/worksheets/sheet10.xml><?xml version="1.0" encoding="utf-8"?>
<worksheet xmlns="http://schemas.openxmlformats.org/spreadsheetml/2006/main" xmlns:r="http://schemas.openxmlformats.org/officeDocument/2006/relationships">
  <sheetPr codeName="Sheet12"/>
  <dimension ref="A1:K52"/>
  <sheetViews>
    <sheetView workbookViewId="0" topLeftCell="A1">
      <selection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7" customWidth="1"/>
    <col min="8" max="8" width="0.8984375" style="7" customWidth="1"/>
    <col min="9" max="9" width="15.5" style="7" customWidth="1"/>
    <col min="10" max="11" width="7.69921875" style="7" customWidth="1"/>
  </cols>
  <sheetData>
    <row r="1" spans="9:11" ht="16.5" thickBot="1">
      <c r="I1" s="4" t="s">
        <v>72</v>
      </c>
      <c r="J1" s="19">
        <f>8!J1+G25</f>
        <v>0</v>
      </c>
      <c r="K1" s="2" t="str">
        <f>6!I1</f>
        <v>Torso</v>
      </c>
    </row>
    <row r="2" spans="1:10" ht="47.25" customHeight="1">
      <c r="A2" s="9" t="s">
        <v>84</v>
      </c>
      <c r="B2" s="9"/>
      <c r="C2" s="129" t="s">
        <v>296</v>
      </c>
      <c r="D2" s="140"/>
      <c r="E2" s="141"/>
      <c r="F2" s="35"/>
      <c r="G2" s="33" t="s">
        <v>216</v>
      </c>
      <c r="I2" s="22"/>
      <c r="J2" s="22"/>
    </row>
    <row r="3" spans="1:10" ht="15.75" customHeight="1">
      <c r="A3" s="9"/>
      <c r="B3" s="9"/>
      <c r="C3" s="129" t="s">
        <v>297</v>
      </c>
      <c r="D3" s="130"/>
      <c r="E3" s="131"/>
      <c r="F3" s="35"/>
      <c r="G3" s="33" t="s">
        <v>215</v>
      </c>
      <c r="I3" s="22"/>
      <c r="J3" s="22"/>
    </row>
    <row r="4" spans="1:9" ht="15.75">
      <c r="A4" s="9"/>
      <c r="B4" s="9"/>
      <c r="C4" s="9" t="s">
        <v>48</v>
      </c>
      <c r="E4" s="1"/>
      <c r="G4" s="8"/>
      <c r="I4" s="2"/>
    </row>
    <row r="5" spans="1:9" ht="15.75">
      <c r="A5" s="9"/>
      <c r="B5" s="9"/>
      <c r="D5" s="42" t="s">
        <v>87</v>
      </c>
      <c r="E5" s="43">
        <v>1</v>
      </c>
      <c r="G5" s="6">
        <f>IF(I5=TRUE,E5,"")</f>
      </c>
      <c r="I5" s="34" t="b">
        <v>0</v>
      </c>
    </row>
    <row r="6" spans="4:9" ht="15.75">
      <c r="D6" s="42" t="s">
        <v>88</v>
      </c>
      <c r="E6" s="44" t="s">
        <v>56</v>
      </c>
      <c r="G6" s="6">
        <f>IF(I6=TRUE,E6,"")</f>
      </c>
      <c r="I6" s="34" t="b">
        <v>0</v>
      </c>
    </row>
    <row r="7" spans="3:9" ht="15.75">
      <c r="C7" s="46" t="s">
        <v>89</v>
      </c>
      <c r="D7" s="45"/>
      <c r="E7" s="44"/>
      <c r="I7" s="34"/>
    </row>
    <row r="8" spans="3:9" ht="15.75">
      <c r="C8" s="45" t="s">
        <v>90</v>
      </c>
      <c r="D8" s="42" t="s">
        <v>91</v>
      </c>
      <c r="E8" s="44">
        <v>-3</v>
      </c>
      <c r="G8" s="6">
        <f aca="true" t="shared" si="0" ref="G8:G16">IF(I8=TRUE,E8,"")</f>
      </c>
      <c r="I8" s="34" t="b">
        <v>0</v>
      </c>
    </row>
    <row r="9" spans="4:9" ht="15.75">
      <c r="D9" s="42" t="s">
        <v>92</v>
      </c>
      <c r="E9" s="44">
        <v>-2</v>
      </c>
      <c r="G9" s="6">
        <f t="shared" si="0"/>
      </c>
      <c r="I9" s="34" t="b">
        <v>0</v>
      </c>
    </row>
    <row r="10" spans="4:9" ht="15.75">
      <c r="D10" s="42" t="s">
        <v>93</v>
      </c>
      <c r="E10" s="44">
        <v>-2</v>
      </c>
      <c r="G10" s="6">
        <f t="shared" si="0"/>
      </c>
      <c r="I10" s="34" t="b">
        <v>0</v>
      </c>
    </row>
    <row r="11" spans="4:9" ht="15.75">
      <c r="D11" s="42" t="s">
        <v>94</v>
      </c>
      <c r="E11" s="44">
        <v>-3</v>
      </c>
      <c r="G11" s="6">
        <f t="shared" si="0"/>
      </c>
      <c r="I11" s="34" t="b">
        <v>0</v>
      </c>
    </row>
    <row r="12" spans="4:9" ht="15.75">
      <c r="D12" s="42" t="s">
        <v>95</v>
      </c>
      <c r="E12" s="44">
        <v>-2</v>
      </c>
      <c r="G12" s="6">
        <f t="shared" si="0"/>
      </c>
      <c r="I12" s="34" t="b">
        <v>0</v>
      </c>
    </row>
    <row r="13" spans="4:9" ht="15.75">
      <c r="D13" s="42" t="s">
        <v>96</v>
      </c>
      <c r="E13" s="44" t="s">
        <v>56</v>
      </c>
      <c r="G13" s="6">
        <f t="shared" si="0"/>
      </c>
      <c r="I13" s="34" t="b">
        <v>0</v>
      </c>
    </row>
    <row r="14" spans="4:9" ht="15.75">
      <c r="D14" s="42" t="s">
        <v>97</v>
      </c>
      <c r="E14" s="44" t="s">
        <v>56</v>
      </c>
      <c r="G14" s="6">
        <f t="shared" si="0"/>
      </c>
      <c r="I14" s="34" t="b">
        <v>0</v>
      </c>
    </row>
    <row r="15" spans="4:9" ht="15.75">
      <c r="D15" s="42" t="s">
        <v>98</v>
      </c>
      <c r="E15" s="44" t="s">
        <v>56</v>
      </c>
      <c r="G15" s="6">
        <f t="shared" si="0"/>
      </c>
      <c r="I15" s="34" t="b">
        <v>0</v>
      </c>
    </row>
    <row r="16" spans="4:9" ht="15.75">
      <c r="D16" s="42" t="s">
        <v>99</v>
      </c>
      <c r="E16" s="44">
        <v>-1</v>
      </c>
      <c r="G16" s="6">
        <f t="shared" si="0"/>
      </c>
      <c r="I16" s="34" t="b">
        <v>0</v>
      </c>
    </row>
    <row r="17" spans="4:9" ht="15.75">
      <c r="D17" s="42"/>
      <c r="E17" s="44"/>
      <c r="I17" s="34"/>
    </row>
    <row r="18" spans="4:9" ht="15.75">
      <c r="D18" s="42" t="s">
        <v>100</v>
      </c>
      <c r="E18" s="44" t="s">
        <v>56</v>
      </c>
      <c r="G18" s="6">
        <f aca="true" t="shared" si="1" ref="G18:G24">IF(I18=TRUE,E18,"")</f>
      </c>
      <c r="I18" s="34" t="b">
        <v>0</v>
      </c>
    </row>
    <row r="19" spans="4:9" ht="15.75">
      <c r="D19" s="42" t="s">
        <v>101</v>
      </c>
      <c r="E19" s="44" t="s">
        <v>56</v>
      </c>
      <c r="G19" s="6">
        <f t="shared" si="1"/>
      </c>
      <c r="I19" s="34" t="b">
        <v>0</v>
      </c>
    </row>
    <row r="20" spans="4:9" ht="15.75">
      <c r="D20" s="42" t="s">
        <v>102</v>
      </c>
      <c r="E20" s="44" t="s">
        <v>56</v>
      </c>
      <c r="G20" s="6">
        <f t="shared" si="1"/>
      </c>
      <c r="I20" s="34" t="b">
        <v>0</v>
      </c>
    </row>
    <row r="21" spans="4:9" ht="15.75">
      <c r="D21" s="42" t="s">
        <v>103</v>
      </c>
      <c r="E21" s="44" t="s">
        <v>56</v>
      </c>
      <c r="G21" s="6">
        <f t="shared" si="1"/>
      </c>
      <c r="I21" s="34" t="b">
        <v>0</v>
      </c>
    </row>
    <row r="22" spans="4:9" ht="15.75">
      <c r="D22" s="42" t="s">
        <v>104</v>
      </c>
      <c r="E22" s="44">
        <v>-2</v>
      </c>
      <c r="G22" s="6">
        <f t="shared" si="1"/>
      </c>
      <c r="I22" s="34" t="b">
        <v>0</v>
      </c>
    </row>
    <row r="23" spans="4:9" ht="15.75">
      <c r="D23" s="42" t="s">
        <v>105</v>
      </c>
      <c r="E23" s="44" t="s">
        <v>56</v>
      </c>
      <c r="G23" s="6">
        <f t="shared" si="1"/>
      </c>
      <c r="I23" s="34" t="b">
        <v>0</v>
      </c>
    </row>
    <row r="24" spans="4:9" ht="15.75">
      <c r="D24" s="42" t="s">
        <v>106</v>
      </c>
      <c r="E24" s="44" t="s">
        <v>56</v>
      </c>
      <c r="G24" s="6">
        <f t="shared" si="1"/>
      </c>
      <c r="I24" s="34" t="b">
        <v>0</v>
      </c>
    </row>
    <row r="25" spans="3:9" ht="15.75">
      <c r="C25" s="16"/>
      <c r="D25" s="16"/>
      <c r="E25" s="16"/>
      <c r="G25" s="34">
        <f>SUM(G5:G24)</f>
        <v>0</v>
      </c>
      <c r="I25" s="34" t="b">
        <v>0</v>
      </c>
    </row>
    <row r="26" spans="3:5" ht="15.75">
      <c r="C26" s="16"/>
      <c r="D26" s="16"/>
      <c r="E26" s="16"/>
    </row>
    <row r="27" spans="3:5" ht="15.75">
      <c r="C27" s="16"/>
      <c r="D27" s="16"/>
      <c r="E27" s="16"/>
    </row>
    <row r="28" spans="3:5" ht="15.75">
      <c r="C28" s="16"/>
      <c r="D28" s="16"/>
      <c r="E28" s="16"/>
    </row>
    <row r="29" spans="3:5" ht="15.75">
      <c r="C29" s="16"/>
      <c r="D29" s="16"/>
      <c r="E29" s="16"/>
    </row>
    <row r="30" spans="3:5" ht="15.75">
      <c r="C30" s="16"/>
      <c r="D30" s="16"/>
      <c r="E30" s="16"/>
    </row>
    <row r="31" spans="3:5" ht="15.75">
      <c r="C31" s="16"/>
      <c r="D31" s="16"/>
      <c r="E31" s="16"/>
    </row>
    <row r="32" spans="3:5" ht="15.75">
      <c r="C32" s="16"/>
      <c r="D32" s="16"/>
      <c r="E32" s="16"/>
    </row>
    <row r="33" spans="3:5" ht="15.75">
      <c r="C33" s="16"/>
      <c r="D33" s="16"/>
      <c r="E33" s="16"/>
    </row>
    <row r="34" spans="3:5" ht="15.75">
      <c r="C34" s="16"/>
      <c r="D34" s="16"/>
      <c r="E34" s="16"/>
    </row>
    <row r="35" spans="3:5" ht="15.75">
      <c r="C35" s="16"/>
      <c r="D35" s="16"/>
      <c r="E35" s="16"/>
    </row>
    <row r="36" spans="3:5" ht="15.75">
      <c r="C36" s="16"/>
      <c r="D36" s="16"/>
      <c r="E36" s="16"/>
    </row>
    <row r="37" spans="3:5" ht="15.75">
      <c r="C37" s="16"/>
      <c r="D37" s="16"/>
      <c r="E37" s="16"/>
    </row>
    <row r="38" spans="3:5" ht="15.75">
      <c r="C38" s="16"/>
      <c r="D38" s="16"/>
      <c r="E38" s="16"/>
    </row>
    <row r="39" spans="3:5" ht="15.75">
      <c r="C39" s="16"/>
      <c r="D39" s="16"/>
      <c r="E39" s="16"/>
    </row>
    <row r="40" spans="3:5" ht="15.75">
      <c r="C40" s="16"/>
      <c r="D40" s="16"/>
      <c r="E40" s="16"/>
    </row>
    <row r="41" spans="3:5" ht="15.75">
      <c r="C41" s="16"/>
      <c r="D41" s="16"/>
      <c r="E41" s="16"/>
    </row>
    <row r="42" spans="3:5" ht="15.75">
      <c r="C42" s="16"/>
      <c r="D42" s="16"/>
      <c r="E42" s="16"/>
    </row>
    <row r="43" spans="3:5" ht="15.75">
      <c r="C43" s="16"/>
      <c r="D43" s="16"/>
      <c r="E43" s="16"/>
    </row>
    <row r="44" spans="3:5" ht="15.75">
      <c r="C44" s="16"/>
      <c r="D44" s="16"/>
      <c r="E44" s="16"/>
    </row>
    <row r="45" spans="3:5" ht="15.75">
      <c r="C45" s="16"/>
      <c r="D45" s="16"/>
      <c r="E45" s="16"/>
    </row>
    <row r="46" spans="3:5" ht="15.75">
      <c r="C46" s="16"/>
      <c r="D46" s="16"/>
      <c r="E46" s="16"/>
    </row>
    <row r="47" spans="3:5" ht="15.75">
      <c r="C47" s="16"/>
      <c r="D47" s="16"/>
      <c r="E47" s="16"/>
    </row>
    <row r="48" spans="3:5" ht="15.75">
      <c r="C48" s="16"/>
      <c r="D48" s="16"/>
      <c r="E48" s="16"/>
    </row>
    <row r="49" spans="3:5" ht="15.75">
      <c r="C49" s="16"/>
      <c r="D49" s="16"/>
      <c r="E49" s="16"/>
    </row>
    <row r="50" spans="3:5" ht="15.75">
      <c r="C50" s="16"/>
      <c r="D50" s="16"/>
      <c r="E50" s="16"/>
    </row>
    <row r="51" spans="3:5" ht="15.75">
      <c r="C51" s="16"/>
      <c r="D51" s="16"/>
      <c r="E51" s="16"/>
    </row>
    <row r="52" spans="3:5" ht="15.75">
      <c r="C52" s="16"/>
      <c r="D52" s="16"/>
      <c r="E52" s="16"/>
    </row>
  </sheetData>
  <mergeCells count="2">
    <mergeCell ref="C2:E2"/>
    <mergeCell ref="C3:E3"/>
  </mergeCells>
  <dataValidations count="9">
    <dataValidation allowBlank="1" showErrorMessage="1" promptTitle="Unmodified Weapon Skill" prompt="Select your Unmodified Weapon Skill from the range 0 to 35." sqref="G8:G16 G18:G24 G5:G6"/>
    <dataValidation type="list" allowBlank="1" showInputMessage="1" showErrorMessage="1" sqref="E18">
      <formula1>"choose,-2,-3,-4"</formula1>
    </dataValidation>
    <dataValidation type="list" allowBlank="1" showInputMessage="1" showErrorMessage="1" sqref="E21">
      <formula1>"choose,-3,-4,-5,-6,-7,-8"</formula1>
    </dataValidation>
    <dataValidation type="list" allowBlank="1" showInputMessage="1" showErrorMessage="1" sqref="E23 E20">
      <formula1>"choose,-1,-2,-3,-4"</formula1>
    </dataValidation>
    <dataValidation type="list" allowBlank="1" showInputMessage="1" showErrorMessage="1" sqref="E24">
      <formula1>"choose,-1,-2,-3,-4,-5,-6,-7,-8,-9,-10"</formula1>
    </dataValidation>
    <dataValidation type="list" allowBlank="1" showInputMessage="1" showErrorMessage="1" sqref="E13">
      <formula1>"choose,-1,-2,-4"</formula1>
    </dataValidation>
    <dataValidation type="list" allowBlank="1" showInputMessage="1" showErrorMessage="1" sqref="E14">
      <formula1>"choose,-2,-4,-8"</formula1>
    </dataValidation>
    <dataValidation type="list" allowBlank="1" showInputMessage="1" showErrorMessage="1" sqref="E15">
      <formula1>"choose,-3,-6,-12"</formula1>
    </dataValidation>
    <dataValidation type="list" allowBlank="1" showInputMessage="1" showErrorMessage="1" sqref="E19 E6">
      <formula1>"choose,-2,-3,-4,-5,-6,-7,-8,-9,-10"</formula1>
    </dataValidation>
  </dataValidations>
  <hyperlinks>
    <hyperlink ref="G2" location="'10'!A1" display="[10]"/>
    <hyperlink ref="G3" location="'11'!A1" display="[11]"/>
  </hyperlinks>
  <printOptions/>
  <pageMargins left="0.75" right="0.75" top="1" bottom="1" header="0.5" footer="0.5"/>
  <pageSetup horizontalDpi="300" verticalDpi="300" orientation="portrait" r:id="rId3"/>
  <legacyDrawing r:id="rId2"/>
</worksheet>
</file>

<file path=xl/worksheets/sheet11.xml><?xml version="1.0" encoding="utf-8"?>
<worksheet xmlns="http://schemas.openxmlformats.org/spreadsheetml/2006/main" xmlns:r="http://schemas.openxmlformats.org/officeDocument/2006/relationships">
  <sheetPr codeName="Sheet13"/>
  <dimension ref="A1:K50"/>
  <sheetViews>
    <sheetView workbookViewId="0" topLeftCell="A1">
      <pane ySplit="3" topLeftCell="BM4" activePane="bottomLeft" state="frozen"/>
      <selection pane="topLeft" activeCell="A1" sqref="A1"/>
      <selection pane="bottomLeft" activeCell="A1" sqref="A1"/>
    </sheetView>
  </sheetViews>
  <sheetFormatPr defaultColWidth="8.796875" defaultRowHeight="15"/>
  <cols>
    <col min="1" max="1" width="5.19921875" style="7" customWidth="1"/>
    <col min="2" max="2" width="0.8984375" style="7" customWidth="1"/>
    <col min="3" max="3" width="15.19921875" style="7" customWidth="1"/>
    <col min="4" max="4" width="21.69921875" style="7" customWidth="1"/>
    <col min="5" max="5" width="8.6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9:11" ht="16.5" thickBot="1">
      <c r="I1" s="4" t="s">
        <v>72</v>
      </c>
      <c r="J1" s="19">
        <f>9!J1+G37</f>
        <v>0</v>
      </c>
      <c r="K1" s="2" t="str">
        <f>6!I1</f>
        <v>Torso</v>
      </c>
    </row>
    <row r="2" spans="1:10" ht="63" customHeight="1">
      <c r="A2" s="9" t="s">
        <v>216</v>
      </c>
      <c r="B2" s="9"/>
      <c r="C2" s="129" t="s">
        <v>298</v>
      </c>
      <c r="D2" s="140"/>
      <c r="E2" s="141"/>
      <c r="F2" s="35"/>
      <c r="G2" s="33" t="s">
        <v>215</v>
      </c>
      <c r="I2" s="22"/>
      <c r="J2" s="22"/>
    </row>
    <row r="3" spans="1:9" ht="15.75">
      <c r="A3" s="9"/>
      <c r="B3" s="9"/>
      <c r="C3" s="9"/>
      <c r="E3" s="1"/>
      <c r="G3" s="8"/>
      <c r="I3" s="2"/>
    </row>
    <row r="4" spans="4:9" ht="15.75">
      <c r="D4" s="42" t="s">
        <v>119</v>
      </c>
      <c r="E4" s="44">
        <v>-6</v>
      </c>
      <c r="G4" s="47">
        <f>IF(I4=TRUE,E4,"")</f>
      </c>
      <c r="I4" s="34" t="b">
        <v>0</v>
      </c>
    </row>
    <row r="5" spans="3:9" ht="15.75">
      <c r="C5" s="32"/>
      <c r="D5" s="42" t="s">
        <v>120</v>
      </c>
      <c r="E5" s="44">
        <v>-4</v>
      </c>
      <c r="G5" s="47">
        <f>IF(I5=TRUE,E5,"")</f>
      </c>
      <c r="I5" s="34" t="b">
        <v>0</v>
      </c>
    </row>
    <row r="6" spans="3:9" ht="15.75">
      <c r="C6" s="16"/>
      <c r="D6" s="42" t="s">
        <v>217</v>
      </c>
      <c r="E6" s="44">
        <v>-2</v>
      </c>
      <c r="G6" s="47">
        <f>IF(I6=TRUE,E6,"")</f>
      </c>
      <c r="I6" s="34" t="b">
        <v>0</v>
      </c>
    </row>
    <row r="7" spans="3:9" ht="15.75">
      <c r="C7" s="16"/>
      <c r="D7" s="42" t="s">
        <v>218</v>
      </c>
      <c r="E7" s="44">
        <v>-4</v>
      </c>
      <c r="G7" s="47">
        <f>IF(I7=TRUE,E7,"")</f>
      </c>
      <c r="I7" s="34" t="b">
        <v>0</v>
      </c>
    </row>
    <row r="8" spans="3:9" ht="15.75">
      <c r="C8" s="16"/>
      <c r="D8" s="42" t="s">
        <v>121</v>
      </c>
      <c r="E8" s="44" t="s">
        <v>56</v>
      </c>
      <c r="G8" s="47">
        <f>IF(I8=TRUE,E8,"")</f>
      </c>
      <c r="I8" s="34" t="b">
        <v>0</v>
      </c>
    </row>
    <row r="9" spans="3:9" ht="15.75">
      <c r="C9" s="16"/>
      <c r="D9" s="16"/>
      <c r="E9" s="16"/>
      <c r="I9" s="34"/>
    </row>
    <row r="10" spans="3:9" ht="15.75">
      <c r="C10" s="16"/>
      <c r="D10" s="45" t="s">
        <v>107</v>
      </c>
      <c r="E10" s="44"/>
      <c r="I10" s="34"/>
    </row>
    <row r="11" spans="3:9" ht="15.75">
      <c r="C11" s="16"/>
      <c r="D11" s="42" t="s">
        <v>108</v>
      </c>
      <c r="E11" s="44">
        <v>0</v>
      </c>
      <c r="G11" s="47">
        <f>IF(I11=TRUE,E11,"")</f>
      </c>
      <c r="I11" s="34" t="b">
        <v>0</v>
      </c>
    </row>
    <row r="12" spans="3:9" ht="15.75">
      <c r="C12" s="16"/>
      <c r="D12" s="42" t="s">
        <v>109</v>
      </c>
      <c r="E12" s="44">
        <v>-1</v>
      </c>
      <c r="G12" s="47">
        <f>IF(I12=TRUE,E12,"")</f>
      </c>
      <c r="I12" s="34" t="b">
        <v>0</v>
      </c>
    </row>
    <row r="13" spans="3:9" ht="15.75">
      <c r="C13" s="16"/>
      <c r="D13" s="45" t="s">
        <v>110</v>
      </c>
      <c r="E13" s="44"/>
      <c r="I13" s="34"/>
    </row>
    <row r="14" spans="3:9" ht="15.75">
      <c r="C14" s="16"/>
      <c r="D14" s="42" t="s">
        <v>108</v>
      </c>
      <c r="E14" s="44">
        <v>0</v>
      </c>
      <c r="G14" s="47">
        <f>IF(I14=TRUE,E14,"")</f>
      </c>
      <c r="I14" s="34" t="b">
        <v>0</v>
      </c>
    </row>
    <row r="15" spans="3:9" ht="15.75">
      <c r="C15" s="16"/>
      <c r="D15" s="42" t="s">
        <v>109</v>
      </c>
      <c r="E15" s="44">
        <v>-1</v>
      </c>
      <c r="G15" s="47">
        <f>IF(I15=TRUE,E15,"")</f>
      </c>
      <c r="I15" s="34" t="b">
        <v>0</v>
      </c>
    </row>
    <row r="16" spans="3:9" ht="15.75">
      <c r="C16" s="16"/>
      <c r="D16" s="45" t="s">
        <v>111</v>
      </c>
      <c r="E16" s="44"/>
      <c r="I16" s="34"/>
    </row>
    <row r="17" spans="3:9" ht="15.75">
      <c r="C17" s="16"/>
      <c r="D17" s="42" t="s">
        <v>112</v>
      </c>
      <c r="E17" s="44">
        <v>0</v>
      </c>
      <c r="G17" s="47">
        <f>IF(I17=TRUE,E17,"")</f>
      </c>
      <c r="I17" s="34" t="b">
        <v>0</v>
      </c>
    </row>
    <row r="18" spans="3:9" ht="15.75">
      <c r="C18" s="16"/>
      <c r="D18" s="42" t="s">
        <v>113</v>
      </c>
      <c r="E18" s="44">
        <v>-1</v>
      </c>
      <c r="G18" s="47">
        <f>IF(I18=TRUE,E18,"")</f>
      </c>
      <c r="I18" s="34" t="b">
        <v>0</v>
      </c>
    </row>
    <row r="19" spans="3:9" ht="15.75">
      <c r="C19" s="16"/>
      <c r="D19" s="42" t="s">
        <v>114</v>
      </c>
      <c r="E19" s="44">
        <v>-2</v>
      </c>
      <c r="G19" s="47">
        <f>IF(I19=TRUE,E19,"")</f>
      </c>
      <c r="I19" s="34" t="b">
        <v>0</v>
      </c>
    </row>
    <row r="20" spans="3:9" ht="15.75">
      <c r="C20" s="16"/>
      <c r="D20" s="42" t="s">
        <v>109</v>
      </c>
      <c r="E20" s="44">
        <v>-3</v>
      </c>
      <c r="G20" s="47">
        <f>IF(I20=TRUE,E20,"")</f>
      </c>
      <c r="I20" s="34" t="b">
        <v>0</v>
      </c>
    </row>
    <row r="21" spans="3:9" ht="15.75">
      <c r="C21" s="16"/>
      <c r="D21" s="45" t="s">
        <v>115</v>
      </c>
      <c r="E21" s="44"/>
      <c r="I21" s="34"/>
    </row>
    <row r="22" spans="3:9" ht="15.75">
      <c r="C22" s="16"/>
      <c r="D22" s="42" t="s">
        <v>112</v>
      </c>
      <c r="E22" s="44">
        <v>-1</v>
      </c>
      <c r="G22" s="47">
        <f>IF(I22=TRUE,E22,"")</f>
      </c>
      <c r="I22" s="34" t="b">
        <v>0</v>
      </c>
    </row>
    <row r="23" spans="3:9" ht="15.75">
      <c r="C23" s="16"/>
      <c r="D23" s="42" t="s">
        <v>113</v>
      </c>
      <c r="E23" s="44">
        <v>-2</v>
      </c>
      <c r="G23" s="47">
        <f>IF(I23=TRUE,E23,"")</f>
      </c>
      <c r="I23" s="34" t="b">
        <v>0</v>
      </c>
    </row>
    <row r="24" spans="3:9" ht="15.75">
      <c r="C24" s="16"/>
      <c r="D24" s="42" t="s">
        <v>114</v>
      </c>
      <c r="E24" s="44">
        <v>-3</v>
      </c>
      <c r="G24" s="47">
        <f>IF(I24=TRUE,E24,"")</f>
      </c>
      <c r="I24" s="34" t="b">
        <v>0</v>
      </c>
    </row>
    <row r="25" spans="3:9" ht="15.75">
      <c r="C25" s="16"/>
      <c r="D25" s="42" t="s">
        <v>109</v>
      </c>
      <c r="E25" s="44">
        <v>-4</v>
      </c>
      <c r="G25" s="47">
        <f>IF(I25=TRUE,E25,"")</f>
      </c>
      <c r="I25" s="34" t="b">
        <v>0</v>
      </c>
    </row>
    <row r="26" spans="3:9" ht="15.75">
      <c r="C26" s="16"/>
      <c r="D26" s="45" t="s">
        <v>116</v>
      </c>
      <c r="E26" s="44">
        <v>0</v>
      </c>
      <c r="G26" s="47">
        <f>IF(I26=TRUE,E26,"")</f>
      </c>
      <c r="I26" s="34" t="b">
        <v>0</v>
      </c>
    </row>
    <row r="27" spans="3:9" ht="15.75">
      <c r="C27" s="16"/>
      <c r="D27" s="45" t="s">
        <v>117</v>
      </c>
      <c r="E27" s="44"/>
      <c r="G27" s="48"/>
      <c r="I27" s="34"/>
    </row>
    <row r="28" spans="3:9" ht="15.75">
      <c r="C28" s="16"/>
      <c r="D28" s="42" t="s">
        <v>112</v>
      </c>
      <c r="E28" s="44">
        <v>0</v>
      </c>
      <c r="G28" s="47">
        <f>IF(I28=TRUE,E28,"")</f>
      </c>
      <c r="I28" s="34" t="b">
        <v>0</v>
      </c>
    </row>
    <row r="29" spans="3:9" ht="15.75">
      <c r="C29" s="16"/>
      <c r="D29" s="42" t="s">
        <v>113</v>
      </c>
      <c r="E29" s="44">
        <v>-1</v>
      </c>
      <c r="G29" s="47">
        <f>IF(I29=TRUE,E29,"")</f>
      </c>
      <c r="I29" s="34" t="b">
        <v>0</v>
      </c>
    </row>
    <row r="30" spans="3:9" ht="15.75">
      <c r="C30" s="16"/>
      <c r="D30" s="42" t="s">
        <v>114</v>
      </c>
      <c r="E30" s="44">
        <v>-2</v>
      </c>
      <c r="G30" s="47">
        <f>IF(I30=TRUE,E30,"")</f>
      </c>
      <c r="I30" s="34" t="b">
        <v>0</v>
      </c>
    </row>
    <row r="31" spans="3:9" ht="15.75">
      <c r="C31" s="16"/>
      <c r="D31" s="42" t="s">
        <v>109</v>
      </c>
      <c r="E31" s="44">
        <v>-3</v>
      </c>
      <c r="G31" s="47">
        <f>IF(I31=TRUE,E31,"")</f>
      </c>
      <c r="I31" s="34" t="b">
        <v>0</v>
      </c>
    </row>
    <row r="32" spans="3:9" ht="15.75">
      <c r="C32" s="16"/>
      <c r="D32" s="45" t="s">
        <v>118</v>
      </c>
      <c r="E32" s="44"/>
      <c r="I32" s="34"/>
    </row>
    <row r="33" spans="3:9" ht="15.75">
      <c r="C33" s="16"/>
      <c r="D33" s="42" t="s">
        <v>112</v>
      </c>
      <c r="E33" s="44">
        <v>-1</v>
      </c>
      <c r="G33" s="47">
        <f>IF(I33=TRUE,E33,"")</f>
      </c>
      <c r="I33" s="34" t="b">
        <v>0</v>
      </c>
    </row>
    <row r="34" spans="3:9" ht="15.75">
      <c r="C34" s="16"/>
      <c r="D34" s="42" t="s">
        <v>113</v>
      </c>
      <c r="E34" s="44">
        <v>-2</v>
      </c>
      <c r="G34" s="47">
        <f>IF(I34=TRUE,E34,"")</f>
      </c>
      <c r="I34" s="34" t="b">
        <v>0</v>
      </c>
    </row>
    <row r="35" spans="3:9" ht="15.75">
      <c r="C35" s="16"/>
      <c r="D35" s="42" t="s">
        <v>114</v>
      </c>
      <c r="E35" s="44">
        <v>-3</v>
      </c>
      <c r="G35" s="47">
        <f>IF(I35=TRUE,E35,"")</f>
      </c>
      <c r="I35" s="34" t="b">
        <v>0</v>
      </c>
    </row>
    <row r="36" spans="3:9" ht="15.75">
      <c r="C36" s="16"/>
      <c r="D36" s="42" t="s">
        <v>109</v>
      </c>
      <c r="E36" s="44">
        <v>-4</v>
      </c>
      <c r="G36" s="47">
        <f>IF(I36=TRUE,E36,"")</f>
      </c>
      <c r="I36" s="34" t="b">
        <v>0</v>
      </c>
    </row>
    <row r="37" spans="3:7" ht="15.75">
      <c r="C37" s="16"/>
      <c r="D37" s="16"/>
      <c r="E37" s="16"/>
      <c r="G37" s="41">
        <f>SUM(G4:G36)</f>
        <v>0</v>
      </c>
    </row>
    <row r="38" spans="3:5" ht="15.75">
      <c r="C38" s="16"/>
      <c r="D38" s="16"/>
      <c r="E38" s="16"/>
    </row>
    <row r="39" spans="3:5" ht="15.75">
      <c r="C39" s="16"/>
      <c r="D39" s="16"/>
      <c r="E39" s="16"/>
    </row>
    <row r="40" spans="3:5" ht="15.75">
      <c r="C40" s="16"/>
      <c r="D40" s="16"/>
      <c r="E40" s="16"/>
    </row>
    <row r="41" spans="3:5" ht="15.75">
      <c r="C41" s="16"/>
      <c r="D41" s="16"/>
      <c r="E41" s="16"/>
    </row>
    <row r="42" spans="3:5" ht="15.75">
      <c r="C42" s="16"/>
      <c r="D42" s="16"/>
      <c r="E42" s="16"/>
    </row>
    <row r="43" spans="3:5" ht="15.75">
      <c r="C43" s="16"/>
      <c r="D43" s="16"/>
      <c r="E43" s="16"/>
    </row>
    <row r="44" spans="3:5" ht="15.75">
      <c r="C44" s="16"/>
      <c r="D44" s="16"/>
      <c r="E44" s="16"/>
    </row>
    <row r="45" spans="3:5" ht="15.75">
      <c r="C45" s="16"/>
      <c r="D45" s="16"/>
      <c r="E45" s="16"/>
    </row>
    <row r="46" spans="3:5" ht="15.75">
      <c r="C46" s="16"/>
      <c r="D46" s="16"/>
      <c r="E46" s="16"/>
    </row>
    <row r="47" spans="3:5" ht="15.75">
      <c r="C47" s="16"/>
      <c r="D47" s="16"/>
      <c r="E47" s="16"/>
    </row>
    <row r="48" spans="3:5" ht="15.75">
      <c r="C48" s="16"/>
      <c r="D48" s="16"/>
      <c r="E48" s="16"/>
    </row>
    <row r="49" spans="3:5" ht="15.75">
      <c r="C49" s="16"/>
      <c r="D49" s="16"/>
      <c r="E49" s="16"/>
    </row>
    <row r="50" spans="3:5" ht="15.75">
      <c r="C50" s="16"/>
      <c r="D50" s="16"/>
      <c r="E50" s="16"/>
    </row>
  </sheetData>
  <mergeCells count="1">
    <mergeCell ref="C2:E2"/>
  </mergeCells>
  <dataValidations count="1">
    <dataValidation type="list" allowBlank="1" showInputMessage="1" showErrorMessage="1" sqref="E8">
      <formula1>"choose,-1,-2,-3,-4,-5,-6,-7,-8,-9,-10"</formula1>
    </dataValidation>
  </dataValidations>
  <hyperlinks>
    <hyperlink ref="G2" location="'11'!A1" display="[11]"/>
  </hyperlinks>
  <printOptions/>
  <pageMargins left="0.75" right="0.75" top="1" bottom="1" header="0.5" footer="0.5"/>
  <pageSetup horizontalDpi="300" verticalDpi="300" orientation="portrait" r:id="rId3"/>
  <legacyDrawing r:id="rId2"/>
</worksheet>
</file>

<file path=xl/worksheets/sheet12.xml><?xml version="1.0" encoding="utf-8"?>
<worksheet xmlns="http://schemas.openxmlformats.org/spreadsheetml/2006/main" xmlns:r="http://schemas.openxmlformats.org/officeDocument/2006/relationships">
  <sheetPr codeName="Sheet14"/>
  <dimension ref="A1:K57"/>
  <sheetViews>
    <sheetView workbookViewId="0" topLeftCell="A1">
      <selection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9:11" ht="16.5" thickBot="1">
      <c r="I1" s="4" t="s">
        <v>72</v>
      </c>
      <c r="J1" s="19">
        <f>IF(AND(J2&gt;9,J3="Max9"),9,J2)</f>
        <v>0</v>
      </c>
      <c r="K1" s="2" t="str">
        <f>6!I1</f>
        <v>Torso</v>
      </c>
    </row>
    <row r="2" spans="1:10" ht="47.25" customHeight="1">
      <c r="A2" s="9" t="s">
        <v>215</v>
      </c>
      <c r="B2" s="9"/>
      <c r="C2" s="129" t="s">
        <v>501</v>
      </c>
      <c r="D2" s="140"/>
      <c r="E2" s="141"/>
      <c r="F2" s="35"/>
      <c r="G2" s="33" t="s">
        <v>77</v>
      </c>
      <c r="I2" s="22"/>
      <c r="J2" s="53">
        <f>'10'!J1+G22</f>
        <v>0</v>
      </c>
    </row>
    <row r="3" spans="1:11" ht="15.75">
      <c r="A3" s="9"/>
      <c r="B3" s="9"/>
      <c r="C3" s="142" t="s">
        <v>299</v>
      </c>
      <c r="D3" s="143"/>
      <c r="E3" s="144"/>
      <c r="G3" s="33" t="s">
        <v>222</v>
      </c>
      <c r="I3" s="60"/>
      <c r="J3" s="34" t="str">
        <f>IF(OR(I16=TRUE,I17=TRUE,I18=TRUE),"Max9","NoMax")</f>
        <v>NoMax</v>
      </c>
      <c r="K3" s="34"/>
    </row>
    <row r="4" spans="1:11" ht="15.75">
      <c r="A4" s="9"/>
      <c r="B4" s="9"/>
      <c r="C4" s="9"/>
      <c r="E4" s="1"/>
      <c r="G4" s="8"/>
      <c r="I4" s="60"/>
      <c r="J4" s="34"/>
      <c r="K4" s="34"/>
    </row>
    <row r="5" spans="1:11" ht="15.75">
      <c r="A5" s="9"/>
      <c r="B5" s="9"/>
      <c r="C5" s="124" t="s">
        <v>220</v>
      </c>
      <c r="D5" s="125"/>
      <c r="E5" s="1"/>
      <c r="G5" s="8"/>
      <c r="I5" s="60"/>
      <c r="J5" s="34"/>
      <c r="K5" s="34"/>
    </row>
    <row r="6" spans="4:11" ht="15.75">
      <c r="D6" s="42" t="s">
        <v>134</v>
      </c>
      <c r="E6" s="44">
        <v>-4</v>
      </c>
      <c r="G6" s="47">
        <f>IF(I6=TRUE,E6,"")</f>
      </c>
      <c r="I6" s="34" t="b">
        <v>0</v>
      </c>
      <c r="J6" s="34"/>
      <c r="K6" s="34"/>
    </row>
    <row r="7" spans="3:11" ht="15.75">
      <c r="C7" s="32"/>
      <c r="D7" s="42" t="s">
        <v>135</v>
      </c>
      <c r="E7" s="44">
        <v>-4</v>
      </c>
      <c r="G7" s="47">
        <f>IF(I7=TRUE,E7,"")</f>
      </c>
      <c r="I7" s="34" t="b">
        <v>0</v>
      </c>
      <c r="J7" s="34"/>
      <c r="K7" s="34"/>
    </row>
    <row r="8" spans="3:11" ht="15.75">
      <c r="C8" s="32"/>
      <c r="D8" s="42"/>
      <c r="E8" s="44"/>
      <c r="I8" s="34"/>
      <c r="J8" s="34"/>
      <c r="K8" s="34"/>
    </row>
    <row r="9" spans="3:11" ht="15.75">
      <c r="C9" s="50" t="s">
        <v>221</v>
      </c>
      <c r="D9" s="16"/>
      <c r="E9" s="16"/>
      <c r="I9" s="34"/>
      <c r="J9" s="34"/>
      <c r="K9" s="34"/>
    </row>
    <row r="10" spans="3:11" ht="15.75">
      <c r="C10" s="16"/>
      <c r="D10" s="42" t="s">
        <v>145</v>
      </c>
      <c r="E10" s="44">
        <v>-2</v>
      </c>
      <c r="G10" s="47">
        <f>IF(I10=TRUE,E10,"")</f>
      </c>
      <c r="I10" s="34" t="b">
        <v>0</v>
      </c>
      <c r="J10" s="34"/>
      <c r="K10" s="34"/>
    </row>
    <row r="11" spans="3:11" ht="15.75">
      <c r="C11" s="16"/>
      <c r="D11" s="42" t="s">
        <v>146</v>
      </c>
      <c r="E11" s="44" t="s">
        <v>56</v>
      </c>
      <c r="G11" s="47">
        <f>IF(I11=TRUE,E11,"")</f>
      </c>
      <c r="I11" s="34" t="b">
        <v>0</v>
      </c>
      <c r="J11" s="34"/>
      <c r="K11" s="34"/>
    </row>
    <row r="12" spans="3:11" ht="15.75">
      <c r="C12" s="16"/>
      <c r="D12" s="42" t="s">
        <v>147</v>
      </c>
      <c r="E12" s="44">
        <v>-2</v>
      </c>
      <c r="G12" s="47">
        <f>IF(I12=TRUE,E12,"")</f>
      </c>
      <c r="I12" s="34" t="b">
        <v>0</v>
      </c>
      <c r="J12" s="34"/>
      <c r="K12" s="34"/>
    </row>
    <row r="13" spans="3:11" ht="15.75">
      <c r="C13" s="16"/>
      <c r="D13" s="42" t="s">
        <v>148</v>
      </c>
      <c r="E13" s="44">
        <v>-2</v>
      </c>
      <c r="G13" s="47">
        <f>IF(I13=TRUE,E13,"")</f>
      </c>
      <c r="I13" s="34" t="b">
        <v>0</v>
      </c>
      <c r="J13" s="34"/>
      <c r="K13" s="34"/>
    </row>
    <row r="14" spans="3:11" ht="15.75">
      <c r="C14" s="16"/>
      <c r="D14" s="42"/>
      <c r="E14" s="44"/>
      <c r="G14" s="41">
        <f>SUM(G6:G13)</f>
        <v>0</v>
      </c>
      <c r="I14" s="34"/>
      <c r="J14" s="34"/>
      <c r="K14" s="34"/>
    </row>
    <row r="15" spans="3:11" ht="15.75">
      <c r="C15" s="50" t="s">
        <v>252</v>
      </c>
      <c r="D15" s="16"/>
      <c r="E15" s="16"/>
      <c r="I15" s="34"/>
      <c r="J15" s="34"/>
      <c r="K15" s="34"/>
    </row>
    <row r="16" spans="3:11" ht="15.75">
      <c r="C16" s="16"/>
      <c r="D16" s="42" t="s">
        <v>256</v>
      </c>
      <c r="E16" s="44">
        <v>-10</v>
      </c>
      <c r="G16" s="47">
        <f>IF(I16=TRUE,E16,"")</f>
      </c>
      <c r="I16" s="34" t="b">
        <v>0</v>
      </c>
      <c r="J16" s="34"/>
      <c r="K16" s="34"/>
    </row>
    <row r="17" spans="3:11" ht="15.75">
      <c r="C17" s="16"/>
      <c r="D17" s="42" t="s">
        <v>258</v>
      </c>
      <c r="E17" s="44">
        <v>-6</v>
      </c>
      <c r="G17" s="47">
        <f>IF(I17=TRUE,E17,"")</f>
      </c>
      <c r="I17" s="34" t="b">
        <v>0</v>
      </c>
      <c r="J17" s="34"/>
      <c r="K17" s="34"/>
    </row>
    <row r="18" spans="3:9" ht="15.75">
      <c r="C18" s="16"/>
      <c r="D18" s="42" t="s">
        <v>259</v>
      </c>
      <c r="E18" s="44">
        <v>-4</v>
      </c>
      <c r="G18" s="47">
        <f>IF(I18=TRUE,E18,"")</f>
      </c>
      <c r="I18" s="34" t="b">
        <v>0</v>
      </c>
    </row>
    <row r="19" spans="3:9" ht="15.75">
      <c r="C19" s="16"/>
      <c r="D19" s="42" t="s">
        <v>153</v>
      </c>
      <c r="E19" s="44" t="s">
        <v>56</v>
      </c>
      <c r="G19" s="47">
        <f>IF(I19=TRUE,E19,"")</f>
      </c>
      <c r="I19" s="34" t="b">
        <v>0</v>
      </c>
    </row>
    <row r="20" spans="3:9" ht="15.75">
      <c r="C20" s="16"/>
      <c r="D20" s="42" t="s">
        <v>154</v>
      </c>
      <c r="E20" s="44">
        <v>-2</v>
      </c>
      <c r="G20" s="47">
        <f>IF(I20=TRUE,E20,"")</f>
      </c>
      <c r="I20" s="34" t="b">
        <v>0</v>
      </c>
    </row>
    <row r="21" spans="3:9" ht="15.75">
      <c r="C21" s="16"/>
      <c r="D21" s="16"/>
      <c r="E21" s="16"/>
      <c r="G21" s="41">
        <f>SUM(G16:G20)</f>
        <v>0</v>
      </c>
      <c r="H21" s="34"/>
      <c r="I21" s="34">
        <f>IF(G21&lt;-10,-10,G21)</f>
        <v>0</v>
      </c>
    </row>
    <row r="22" spans="3:9" ht="15.75">
      <c r="C22" s="16"/>
      <c r="E22" s="59" t="s">
        <v>257</v>
      </c>
      <c r="G22" s="41">
        <f>G14+I21</f>
        <v>0</v>
      </c>
      <c r="H22" s="34"/>
      <c r="I22" s="34"/>
    </row>
    <row r="23" spans="3:5" ht="15.75">
      <c r="C23" s="16"/>
      <c r="D23" s="16"/>
      <c r="E23" s="16"/>
    </row>
    <row r="24" spans="3:5" ht="15.75">
      <c r="C24" s="16"/>
      <c r="D24" s="16"/>
      <c r="E24" s="16"/>
    </row>
    <row r="25" spans="3:5" ht="15.75">
      <c r="C25" s="16"/>
      <c r="D25" s="16"/>
      <c r="E25" s="16"/>
    </row>
    <row r="26" spans="3:5" ht="15.75">
      <c r="C26" s="16"/>
      <c r="D26" s="16"/>
      <c r="E26" s="16"/>
    </row>
    <row r="27" spans="3:5" ht="15.75">
      <c r="C27" s="16"/>
      <c r="D27" s="16"/>
      <c r="E27" s="16"/>
    </row>
    <row r="28" spans="3:5" ht="15.75">
      <c r="C28" s="16"/>
      <c r="D28" s="16"/>
      <c r="E28" s="16"/>
    </row>
    <row r="29" spans="3:5" ht="15.75">
      <c r="C29" s="16"/>
      <c r="D29" s="16"/>
      <c r="E29" s="16"/>
    </row>
    <row r="30" spans="3:5" ht="15.75">
      <c r="C30" s="16"/>
      <c r="D30" s="16"/>
      <c r="E30" s="16"/>
    </row>
    <row r="31" spans="3:5" ht="15.75">
      <c r="C31" s="16"/>
      <c r="D31" s="16"/>
      <c r="E31" s="16"/>
    </row>
    <row r="32" spans="3:5" ht="15.75">
      <c r="C32" s="16"/>
      <c r="D32" s="16"/>
      <c r="E32" s="16"/>
    </row>
    <row r="33" spans="3:5" ht="15.75">
      <c r="C33" s="16"/>
      <c r="D33" s="16"/>
      <c r="E33" s="16"/>
    </row>
    <row r="34" spans="3:5" ht="15.75">
      <c r="C34" s="16"/>
      <c r="D34" s="16"/>
      <c r="E34" s="16"/>
    </row>
    <row r="35" spans="3:5" ht="15.75">
      <c r="C35" s="16"/>
      <c r="D35" s="16"/>
      <c r="E35" s="16"/>
    </row>
    <row r="36" spans="3:5" ht="15.75">
      <c r="C36" s="16"/>
      <c r="D36" s="16"/>
      <c r="E36" s="16"/>
    </row>
    <row r="37" spans="3:5" ht="15.75">
      <c r="C37" s="16"/>
      <c r="D37" s="16"/>
      <c r="E37" s="16"/>
    </row>
    <row r="38" spans="3:5" ht="15.75">
      <c r="C38" s="16"/>
      <c r="D38" s="16"/>
      <c r="E38" s="16"/>
    </row>
    <row r="39" spans="3:5" ht="15.75">
      <c r="C39" s="16"/>
      <c r="D39" s="16"/>
      <c r="E39" s="16"/>
    </row>
    <row r="40" spans="3:5" ht="15.75">
      <c r="C40" s="16"/>
      <c r="D40" s="16"/>
      <c r="E40" s="16"/>
    </row>
    <row r="41" spans="3:5" ht="15.75">
      <c r="C41" s="16"/>
      <c r="D41" s="16"/>
      <c r="E41" s="16"/>
    </row>
    <row r="42" spans="3:5" ht="15.75">
      <c r="C42" s="16"/>
      <c r="D42" s="16"/>
      <c r="E42" s="16"/>
    </row>
    <row r="43" spans="3:5" ht="15.75">
      <c r="C43" s="16"/>
      <c r="D43" s="16"/>
      <c r="E43" s="16"/>
    </row>
    <row r="44" spans="3:5" ht="15.75">
      <c r="C44" s="16"/>
      <c r="D44" s="16"/>
      <c r="E44" s="16"/>
    </row>
    <row r="45" spans="3:5" ht="15.75">
      <c r="C45" s="16"/>
      <c r="D45" s="16"/>
      <c r="E45" s="16"/>
    </row>
    <row r="46" spans="3:5" ht="15.75">
      <c r="C46" s="16"/>
      <c r="D46" s="16"/>
      <c r="E46" s="16"/>
    </row>
    <row r="47" spans="3:5" ht="15.75">
      <c r="C47" s="16"/>
      <c r="D47" s="16"/>
      <c r="E47" s="16"/>
    </row>
    <row r="48" spans="3:5" ht="15.75">
      <c r="C48" s="16"/>
      <c r="D48" s="16"/>
      <c r="E48" s="16"/>
    </row>
    <row r="49" spans="3:5" ht="15.75">
      <c r="C49" s="16"/>
      <c r="D49" s="16"/>
      <c r="E49" s="16"/>
    </row>
    <row r="50" spans="3:5" ht="15.75">
      <c r="C50" s="16"/>
      <c r="D50" s="16"/>
      <c r="E50" s="16"/>
    </row>
    <row r="51" spans="3:5" ht="15.75">
      <c r="C51" s="16"/>
      <c r="D51" s="16"/>
      <c r="E51" s="16"/>
    </row>
    <row r="52" spans="3:5" ht="15.75">
      <c r="C52" s="16"/>
      <c r="D52" s="16"/>
      <c r="E52" s="16"/>
    </row>
    <row r="53" spans="3:5" ht="15.75">
      <c r="C53" s="16"/>
      <c r="D53" s="16"/>
      <c r="E53" s="16"/>
    </row>
    <row r="54" spans="3:5" ht="15.75">
      <c r="C54" s="16"/>
      <c r="D54" s="16"/>
      <c r="E54" s="16"/>
    </row>
    <row r="55" spans="3:5" ht="15.75">
      <c r="C55" s="16"/>
      <c r="D55" s="16"/>
      <c r="E55" s="16"/>
    </row>
    <row r="56" spans="3:5" ht="15.75">
      <c r="C56" s="16"/>
      <c r="D56" s="16"/>
      <c r="E56" s="16"/>
    </row>
    <row r="57" spans="3:5" ht="15.75">
      <c r="C57" s="16"/>
      <c r="D57" s="16"/>
      <c r="E57" s="16"/>
    </row>
  </sheetData>
  <mergeCells count="3">
    <mergeCell ref="C2:E2"/>
    <mergeCell ref="C5:D5"/>
    <mergeCell ref="C3:E3"/>
  </mergeCells>
  <dataValidations count="2">
    <dataValidation type="list" allowBlank="1" showInputMessage="1" showErrorMessage="1" sqref="E11">
      <formula1>"choose,-4,-8,-12,-16"</formula1>
    </dataValidation>
    <dataValidation type="list" allowBlank="1" showInputMessage="1" showErrorMessage="1" sqref="E19">
      <formula1>"choose,-1,-2,-3,-4,-5,-6,-7,-8,-9"</formula1>
    </dataValidation>
  </dataValidations>
  <hyperlinks>
    <hyperlink ref="G2" location="'12'!A1" display="[12]"/>
    <hyperlink ref="G3" location="'13'!A1" display="[13]"/>
  </hyperlinks>
  <printOptions/>
  <pageMargins left="0.75" right="0.75" top="1" bottom="1" header="0.5" footer="0.5"/>
  <pageSetup horizontalDpi="300" verticalDpi="300" orientation="portrait" r:id="rId3"/>
  <legacyDrawing r:id="rId2"/>
</worksheet>
</file>

<file path=xl/worksheets/sheet13.xml><?xml version="1.0" encoding="utf-8"?>
<worksheet xmlns="http://schemas.openxmlformats.org/spreadsheetml/2006/main" xmlns:r="http://schemas.openxmlformats.org/officeDocument/2006/relationships">
  <sheetPr codeName="Sheet15"/>
  <dimension ref="A1:K52"/>
  <sheetViews>
    <sheetView workbookViewId="0" topLeftCell="A1">
      <selection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9:11" ht="16.5" thickBot="1">
      <c r="I1" s="4" t="s">
        <v>72</v>
      </c>
      <c r="J1" s="19">
        <f>IF(AND(J2&gt;9,'11'!J3="Max9"),9,J2)</f>
        <v>0</v>
      </c>
      <c r="K1" s="2" t="str">
        <f>6!I1</f>
        <v>Torso</v>
      </c>
    </row>
    <row r="2" spans="1:10" ht="15.75">
      <c r="A2" s="9" t="s">
        <v>77</v>
      </c>
      <c r="B2" s="9"/>
      <c r="C2" s="129" t="s">
        <v>300</v>
      </c>
      <c r="D2" s="140"/>
      <c r="E2" s="141"/>
      <c r="F2" s="35"/>
      <c r="G2" s="33" t="s">
        <v>222</v>
      </c>
      <c r="I2" s="22"/>
      <c r="J2" s="53">
        <f>'11'!J1+G13</f>
        <v>0</v>
      </c>
    </row>
    <row r="3" spans="1:9" ht="15.75">
      <c r="A3" s="9"/>
      <c r="B3" s="9"/>
      <c r="C3" s="9"/>
      <c r="E3" s="1"/>
      <c r="G3" s="8"/>
      <c r="I3" s="2"/>
    </row>
    <row r="4" ht="15.75">
      <c r="D4" s="52" t="s">
        <v>86</v>
      </c>
    </row>
    <row r="5" spans="3:9" ht="15.75">
      <c r="C5" s="32"/>
      <c r="D5" s="29" t="s">
        <v>137</v>
      </c>
      <c r="E5" s="28">
        <v>0</v>
      </c>
      <c r="G5" s="47">
        <f aca="true" t="shared" si="0" ref="G5:G12">IF(I5=TRUE,E5,"")</f>
      </c>
      <c r="I5" s="34" t="b">
        <v>0</v>
      </c>
    </row>
    <row r="6" spans="3:9" ht="15.75">
      <c r="C6" s="16"/>
      <c r="D6" s="29" t="s">
        <v>138</v>
      </c>
      <c r="E6" s="28">
        <v>1</v>
      </c>
      <c r="G6" s="47">
        <f t="shared" si="0"/>
      </c>
      <c r="I6" s="34" t="b">
        <v>0</v>
      </c>
    </row>
    <row r="7" spans="3:9" ht="15.75">
      <c r="C7" s="16"/>
      <c r="D7" s="29" t="s">
        <v>139</v>
      </c>
      <c r="E7" s="28">
        <v>2</v>
      </c>
      <c r="G7" s="47">
        <f t="shared" si="0"/>
      </c>
      <c r="I7" s="34" t="b">
        <v>0</v>
      </c>
    </row>
    <row r="8" spans="3:9" ht="15.75">
      <c r="C8" s="16"/>
      <c r="D8" s="29" t="s">
        <v>140</v>
      </c>
      <c r="E8" s="28">
        <v>3</v>
      </c>
      <c r="G8" s="47">
        <f t="shared" si="0"/>
      </c>
      <c r="I8" s="34" t="b">
        <v>0</v>
      </c>
    </row>
    <row r="9" spans="3:9" ht="15.75">
      <c r="C9" s="16"/>
      <c r="D9" s="29" t="s">
        <v>141</v>
      </c>
      <c r="E9" s="28">
        <v>4</v>
      </c>
      <c r="G9" s="47">
        <f t="shared" si="0"/>
      </c>
      <c r="I9" s="34" t="b">
        <v>0</v>
      </c>
    </row>
    <row r="10" spans="3:9" ht="15.75">
      <c r="C10" s="16"/>
      <c r="D10" s="29" t="s">
        <v>142</v>
      </c>
      <c r="E10" s="28">
        <v>5</v>
      </c>
      <c r="G10" s="47">
        <f t="shared" si="0"/>
      </c>
      <c r="I10" s="34" t="b">
        <v>0</v>
      </c>
    </row>
    <row r="11" spans="3:9" ht="15.75">
      <c r="C11" s="16"/>
      <c r="D11" s="29" t="s">
        <v>143</v>
      </c>
      <c r="E11" s="28">
        <v>6</v>
      </c>
      <c r="G11" s="47">
        <f t="shared" si="0"/>
      </c>
      <c r="I11" s="34" t="b">
        <v>0</v>
      </c>
    </row>
    <row r="12" spans="3:9" ht="15.75">
      <c r="C12" s="16"/>
      <c r="D12" s="29" t="s">
        <v>144</v>
      </c>
      <c r="E12" s="28">
        <v>7</v>
      </c>
      <c r="G12" s="47">
        <f t="shared" si="0"/>
      </c>
      <c r="I12" s="34" t="b">
        <v>0</v>
      </c>
    </row>
    <row r="13" spans="3:7" ht="15.75">
      <c r="C13" s="16"/>
      <c r="D13" s="16"/>
      <c r="E13" s="16"/>
      <c r="G13" s="41">
        <f>SUM(G5:G12)</f>
        <v>0</v>
      </c>
    </row>
    <row r="14" spans="3:9" ht="15.75">
      <c r="C14" s="16"/>
      <c r="D14" s="16"/>
      <c r="E14" s="10" t="s">
        <v>281</v>
      </c>
      <c r="G14" s="47" t="s">
        <v>56</v>
      </c>
      <c r="I14" s="16"/>
    </row>
    <row r="15" spans="3:5" ht="15.75">
      <c r="C15" s="16"/>
      <c r="D15" s="16"/>
      <c r="E15" s="16"/>
    </row>
    <row r="16" spans="3:5" ht="15.75">
      <c r="C16" s="16"/>
      <c r="D16" s="16"/>
      <c r="E16" s="16"/>
    </row>
    <row r="17" spans="3:5" ht="15.75">
      <c r="C17" s="16"/>
      <c r="D17" s="16"/>
      <c r="E17" s="16"/>
    </row>
    <row r="18" spans="3:5" ht="15.75">
      <c r="C18" s="16"/>
      <c r="D18" s="16"/>
      <c r="E18" s="16"/>
    </row>
    <row r="19" spans="3:5" ht="15.75">
      <c r="C19" s="16"/>
      <c r="D19" s="16"/>
      <c r="E19" s="16"/>
    </row>
    <row r="20" spans="3:5" ht="15.75">
      <c r="C20" s="16"/>
      <c r="D20" s="16"/>
      <c r="E20" s="16"/>
    </row>
    <row r="21" spans="3:5" ht="15.75">
      <c r="C21" s="16"/>
      <c r="D21" s="16"/>
      <c r="E21" s="16"/>
    </row>
    <row r="22" spans="3:5" ht="15.75">
      <c r="C22" s="16"/>
      <c r="D22" s="16"/>
      <c r="E22" s="16"/>
    </row>
    <row r="23" spans="3:5" ht="15.75">
      <c r="C23" s="16"/>
      <c r="D23" s="16"/>
      <c r="E23" s="16"/>
    </row>
    <row r="24" spans="3:5" ht="15.75">
      <c r="C24" s="16"/>
      <c r="D24" s="16"/>
      <c r="E24" s="16"/>
    </row>
    <row r="25" spans="3:5" ht="15.75">
      <c r="C25" s="16"/>
      <c r="D25" s="16"/>
      <c r="E25" s="16"/>
    </row>
    <row r="26" spans="3:5" ht="15.75">
      <c r="C26" s="16"/>
      <c r="D26" s="16"/>
      <c r="E26" s="16"/>
    </row>
    <row r="27" spans="3:5" ht="15.75">
      <c r="C27" s="16"/>
      <c r="D27" s="16"/>
      <c r="E27" s="16"/>
    </row>
    <row r="28" spans="3:5" ht="15.75">
      <c r="C28" s="16"/>
      <c r="D28" s="16"/>
      <c r="E28" s="16"/>
    </row>
    <row r="29" spans="3:5" ht="15.75">
      <c r="C29" s="16"/>
      <c r="D29" s="16"/>
      <c r="E29" s="16"/>
    </row>
    <row r="30" spans="3:5" ht="15.75">
      <c r="C30" s="16"/>
      <c r="D30" s="16"/>
      <c r="E30" s="16"/>
    </row>
    <row r="31" spans="3:5" ht="15.75">
      <c r="C31" s="16"/>
      <c r="D31" s="16"/>
      <c r="E31" s="16"/>
    </row>
    <row r="32" spans="3:5" ht="15.75">
      <c r="C32" s="16"/>
      <c r="D32" s="16"/>
      <c r="E32" s="16"/>
    </row>
    <row r="33" spans="3:5" ht="15.75">
      <c r="C33" s="16"/>
      <c r="D33" s="16"/>
      <c r="E33" s="16"/>
    </row>
    <row r="34" spans="3:5" ht="15.75">
      <c r="C34" s="16"/>
      <c r="D34" s="16"/>
      <c r="E34" s="16"/>
    </row>
    <row r="35" spans="3:5" ht="15.75">
      <c r="C35" s="16"/>
      <c r="D35" s="16"/>
      <c r="E35" s="16"/>
    </row>
    <row r="36" spans="3:5" ht="15.75">
      <c r="C36" s="16"/>
      <c r="D36" s="16"/>
      <c r="E36" s="16"/>
    </row>
    <row r="37" spans="3:5" ht="15.75">
      <c r="C37" s="16"/>
      <c r="D37" s="16"/>
      <c r="E37" s="16"/>
    </row>
    <row r="38" spans="3:5" ht="15.75">
      <c r="C38" s="16"/>
      <c r="D38" s="16"/>
      <c r="E38" s="16"/>
    </row>
    <row r="39" spans="3:5" ht="15.75">
      <c r="C39" s="16"/>
      <c r="D39" s="16"/>
      <c r="E39" s="16"/>
    </row>
    <row r="40" spans="3:5" ht="15.75">
      <c r="C40" s="16"/>
      <c r="D40" s="16"/>
      <c r="E40" s="16"/>
    </row>
    <row r="41" spans="3:5" ht="15.75">
      <c r="C41" s="16"/>
      <c r="D41" s="16"/>
      <c r="E41" s="16"/>
    </row>
    <row r="42" spans="3:5" ht="15.75">
      <c r="C42" s="16"/>
      <c r="D42" s="16"/>
      <c r="E42" s="16"/>
    </row>
    <row r="43" spans="3:5" ht="15.75">
      <c r="C43" s="16"/>
      <c r="D43" s="16"/>
      <c r="E43" s="16"/>
    </row>
    <row r="44" spans="3:5" ht="15.75">
      <c r="C44" s="16"/>
      <c r="D44" s="16"/>
      <c r="E44" s="16"/>
    </row>
    <row r="45" spans="3:5" ht="15.75">
      <c r="C45" s="16"/>
      <c r="D45" s="16"/>
      <c r="E45" s="16"/>
    </row>
    <row r="46" spans="3:5" ht="15.75">
      <c r="C46" s="16"/>
      <c r="D46" s="16"/>
      <c r="E46" s="16"/>
    </row>
    <row r="47" spans="3:5" ht="15.75">
      <c r="C47" s="16"/>
      <c r="D47" s="16"/>
      <c r="E47" s="16"/>
    </row>
    <row r="48" spans="3:5" ht="15.75">
      <c r="C48" s="16"/>
      <c r="D48" s="16"/>
      <c r="E48" s="16"/>
    </row>
    <row r="49" spans="3:5" ht="15.75">
      <c r="C49" s="16"/>
      <c r="D49" s="16"/>
      <c r="E49" s="16"/>
    </row>
    <row r="50" spans="3:5" ht="15.75">
      <c r="C50" s="16"/>
      <c r="D50" s="16"/>
      <c r="E50" s="16"/>
    </row>
    <row r="51" spans="3:5" ht="15.75">
      <c r="C51" s="16"/>
      <c r="D51" s="16"/>
      <c r="E51" s="16"/>
    </row>
    <row r="52" spans="3:5" ht="15.75">
      <c r="C52" s="16"/>
      <c r="D52" s="16"/>
      <c r="E52" s="16"/>
    </row>
  </sheetData>
  <mergeCells count="1">
    <mergeCell ref="C2:E2"/>
  </mergeCells>
  <dataValidations count="1">
    <dataValidation type="list" allowBlank="1" showInputMessage="1" showErrorMessage="1" sqref="G14">
      <formula1>"choose,1,2,3,4"</formula1>
    </dataValidation>
  </dataValidations>
  <hyperlinks>
    <hyperlink ref="G2" location="'13'!A1" display="[13]"/>
  </hyperlinks>
  <printOptions/>
  <pageMargins left="0.75" right="0.75" top="1" bottom="1" header="0.5" footer="0.5"/>
  <pageSetup horizontalDpi="300" verticalDpi="300" orientation="portrait" r:id="rId2"/>
  <legacyDrawing r:id="rId1"/>
</worksheet>
</file>

<file path=xl/worksheets/sheet14.xml><?xml version="1.0" encoding="utf-8"?>
<worksheet xmlns="http://schemas.openxmlformats.org/spreadsheetml/2006/main" xmlns:r="http://schemas.openxmlformats.org/officeDocument/2006/relationships">
  <sheetPr codeName="Sheet16"/>
  <dimension ref="A1:K53"/>
  <sheetViews>
    <sheetView workbookViewId="0" topLeftCell="A1">
      <selection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9:11" ht="16.5" thickBot="1">
      <c r="I1" s="4" t="s">
        <v>72</v>
      </c>
      <c r="J1" s="19">
        <f>IF(AND(J3&gt;9,'11'!J3="Max9"),9,J3)</f>
        <v>0</v>
      </c>
      <c r="K1" s="2" t="str">
        <f>6!I1</f>
        <v>Torso</v>
      </c>
    </row>
    <row r="2" spans="1:10" ht="48" customHeight="1">
      <c r="A2" s="9" t="s">
        <v>222</v>
      </c>
      <c r="B2" s="9"/>
      <c r="C2" s="129" t="s">
        <v>301</v>
      </c>
      <c r="D2" s="140"/>
      <c r="E2" s="141"/>
      <c r="F2" s="35"/>
      <c r="G2" s="33" t="s">
        <v>227</v>
      </c>
      <c r="I2" s="82">
        <f>IF(G16&lt;&gt;0,"t","")</f>
      </c>
      <c r="J2" s="53">
        <f>IF('12'!G13&lt;&gt;0,'12'!J1,'11'!J1)</f>
        <v>0</v>
      </c>
    </row>
    <row r="3" spans="1:10" ht="15.75" customHeight="1">
      <c r="A3" s="9"/>
      <c r="B3" s="9"/>
      <c r="C3" s="129" t="s">
        <v>302</v>
      </c>
      <c r="D3" s="130"/>
      <c r="E3" s="131"/>
      <c r="F3" s="35"/>
      <c r="G3" s="33" t="s">
        <v>223</v>
      </c>
      <c r="I3" s="82" t="str">
        <f>IF(G16=0,"t","")</f>
        <v>t</v>
      </c>
      <c r="J3" s="53">
        <f>J2+G16</f>
        <v>0</v>
      </c>
    </row>
    <row r="4" spans="1:9" ht="15.75">
      <c r="A4" s="9"/>
      <c r="B4" s="9"/>
      <c r="C4" s="9"/>
      <c r="E4" s="1"/>
      <c r="G4" s="8"/>
      <c r="I4" s="2"/>
    </row>
    <row r="5" ht="15.75">
      <c r="C5" s="46" t="s">
        <v>122</v>
      </c>
    </row>
    <row r="6" spans="3:9" ht="15.75">
      <c r="C6" s="32"/>
      <c r="D6" s="42" t="s">
        <v>123</v>
      </c>
      <c r="E6" s="44">
        <v>-2</v>
      </c>
      <c r="G6" s="47">
        <f>IF(I6=TRUE,E6,"")</f>
      </c>
      <c r="I6" s="34" t="b">
        <v>0</v>
      </c>
    </row>
    <row r="7" spans="3:9" ht="15.75">
      <c r="C7" s="16"/>
      <c r="D7" s="45" t="s">
        <v>124</v>
      </c>
      <c r="E7" s="44"/>
      <c r="I7" s="34"/>
    </row>
    <row r="8" spans="3:9" ht="15.75">
      <c r="C8" s="16"/>
      <c r="D8" s="42" t="s">
        <v>125</v>
      </c>
      <c r="E8" s="44">
        <v>0</v>
      </c>
      <c r="G8" s="47">
        <f aca="true" t="shared" si="0" ref="G8:G13">IF(I8=TRUE,E8,"")</f>
      </c>
      <c r="I8" s="34" t="b">
        <v>0</v>
      </c>
    </row>
    <row r="9" spans="3:9" ht="15.75">
      <c r="C9" s="16"/>
      <c r="D9" s="42" t="s">
        <v>126</v>
      </c>
      <c r="E9" s="44">
        <v>-1</v>
      </c>
      <c r="G9" s="47">
        <f t="shared" si="0"/>
      </c>
      <c r="I9" s="34" t="b">
        <v>0</v>
      </c>
    </row>
    <row r="10" spans="3:9" ht="15.75">
      <c r="C10" s="16"/>
      <c r="D10" s="42" t="s">
        <v>127</v>
      </c>
      <c r="E10" s="44">
        <v>-2</v>
      </c>
      <c r="G10" s="47">
        <f t="shared" si="0"/>
      </c>
      <c r="I10" s="34" t="b">
        <v>0</v>
      </c>
    </row>
    <row r="11" spans="3:9" ht="15.75">
      <c r="C11" s="16"/>
      <c r="D11" s="42" t="s">
        <v>128</v>
      </c>
      <c r="E11" s="44">
        <v>-3</v>
      </c>
      <c r="G11" s="47">
        <f t="shared" si="0"/>
      </c>
      <c r="I11" s="34" t="b">
        <v>0</v>
      </c>
    </row>
    <row r="12" spans="3:9" ht="15.75">
      <c r="C12" s="16"/>
      <c r="D12" s="42" t="s">
        <v>129</v>
      </c>
      <c r="E12" s="44">
        <v>-4</v>
      </c>
      <c r="G12" s="47">
        <f t="shared" si="0"/>
      </c>
      <c r="I12" s="34" t="b">
        <v>0</v>
      </c>
    </row>
    <row r="13" spans="3:9" ht="15.75">
      <c r="C13" s="16"/>
      <c r="D13" s="42" t="s">
        <v>130</v>
      </c>
      <c r="E13" s="44">
        <v>-5</v>
      </c>
      <c r="G13" s="47">
        <f t="shared" si="0"/>
      </c>
      <c r="I13" s="34" t="b">
        <v>0</v>
      </c>
    </row>
    <row r="14" spans="3:9" ht="15.75">
      <c r="C14" s="50" t="s">
        <v>224</v>
      </c>
      <c r="D14" s="16"/>
      <c r="E14" s="16"/>
      <c r="I14" s="34"/>
    </row>
    <row r="15" spans="3:9" ht="15.75">
      <c r="C15" s="16"/>
      <c r="D15" s="42" t="s">
        <v>136</v>
      </c>
      <c r="E15" s="44">
        <v>-2</v>
      </c>
      <c r="G15" s="47">
        <f>IF(I15=TRUE,E15,"")</f>
      </c>
      <c r="I15" s="34" t="b">
        <v>0</v>
      </c>
    </row>
    <row r="16" spans="3:7" ht="15.75">
      <c r="C16" s="16"/>
      <c r="D16" s="16"/>
      <c r="E16" s="16"/>
      <c r="G16" s="41">
        <f>SUM(G6:G15)</f>
        <v>0</v>
      </c>
    </row>
    <row r="17" spans="3:5" ht="15.75">
      <c r="C17" s="16"/>
      <c r="D17" s="16"/>
      <c r="E17" s="16"/>
    </row>
    <row r="18" spans="3:5" ht="15.75">
      <c r="C18" s="16"/>
      <c r="D18" s="16"/>
      <c r="E18" s="16"/>
    </row>
    <row r="19" spans="3:5" ht="15.75">
      <c r="C19" s="16"/>
      <c r="D19" s="16"/>
      <c r="E19" s="16"/>
    </row>
    <row r="20" spans="3:5" ht="15.75">
      <c r="C20" s="16"/>
      <c r="D20" s="16"/>
      <c r="E20" s="16"/>
    </row>
    <row r="21" spans="3:5" ht="15.75">
      <c r="C21" s="16"/>
      <c r="D21" s="16"/>
      <c r="E21" s="16"/>
    </row>
    <row r="22" spans="3:5" ht="15.75">
      <c r="C22" s="16"/>
      <c r="D22" s="16"/>
      <c r="E22" s="16"/>
    </row>
    <row r="23" spans="3:5" ht="15.75">
      <c r="C23" s="16"/>
      <c r="D23" s="16"/>
      <c r="E23" s="16"/>
    </row>
    <row r="24" spans="3:5" ht="15.75">
      <c r="C24" s="16"/>
      <c r="D24" s="16"/>
      <c r="E24" s="16"/>
    </row>
    <row r="25" spans="3:5" ht="15.75">
      <c r="C25" s="16"/>
      <c r="D25" s="16"/>
      <c r="E25" s="16"/>
    </row>
    <row r="26" spans="3:5" ht="15.75">
      <c r="C26" s="16"/>
      <c r="D26" s="16"/>
      <c r="E26" s="16"/>
    </row>
    <row r="27" spans="3:5" ht="15.75">
      <c r="C27" s="16"/>
      <c r="D27" s="16"/>
      <c r="E27" s="16"/>
    </row>
    <row r="28" spans="3:5" ht="15.75">
      <c r="C28" s="16"/>
      <c r="D28" s="16"/>
      <c r="E28" s="16"/>
    </row>
    <row r="29" spans="3:5" ht="15.75">
      <c r="C29" s="16"/>
      <c r="D29" s="16"/>
      <c r="E29" s="16"/>
    </row>
    <row r="30" spans="3:5" ht="15.75">
      <c r="C30" s="16"/>
      <c r="D30" s="16"/>
      <c r="E30" s="16"/>
    </row>
    <row r="31" spans="3:5" ht="15.75">
      <c r="C31" s="16"/>
      <c r="D31" s="16"/>
      <c r="E31" s="16"/>
    </row>
    <row r="32" spans="3:5" ht="15.75">
      <c r="C32" s="16"/>
      <c r="D32" s="16"/>
      <c r="E32" s="16"/>
    </row>
    <row r="33" spans="3:5" ht="15.75">
      <c r="C33" s="16"/>
      <c r="D33" s="16"/>
      <c r="E33" s="16"/>
    </row>
    <row r="34" spans="3:5" ht="15.75">
      <c r="C34" s="16"/>
      <c r="D34" s="16"/>
      <c r="E34" s="16"/>
    </row>
    <row r="35" spans="3:5" ht="15.75">
      <c r="C35" s="16"/>
      <c r="D35" s="16"/>
      <c r="E35" s="16"/>
    </row>
    <row r="36" spans="3:5" ht="15.75">
      <c r="C36" s="16"/>
      <c r="D36" s="16"/>
      <c r="E36" s="16"/>
    </row>
    <row r="37" spans="3:5" ht="15.75">
      <c r="C37" s="16"/>
      <c r="D37" s="16"/>
      <c r="E37" s="16"/>
    </row>
    <row r="38" spans="3:5" ht="15.75">
      <c r="C38" s="16"/>
      <c r="D38" s="16"/>
      <c r="E38" s="16"/>
    </row>
    <row r="39" spans="3:5" ht="15.75">
      <c r="C39" s="16"/>
      <c r="D39" s="16"/>
      <c r="E39" s="16"/>
    </row>
    <row r="40" spans="3:5" ht="15.75">
      <c r="C40" s="16"/>
      <c r="D40" s="16"/>
      <c r="E40" s="16"/>
    </row>
    <row r="41" spans="3:5" ht="15.75">
      <c r="C41" s="16"/>
      <c r="D41" s="16"/>
      <c r="E41" s="16"/>
    </row>
    <row r="42" spans="3:5" ht="15.75">
      <c r="C42" s="16"/>
      <c r="D42" s="16"/>
      <c r="E42" s="16"/>
    </row>
    <row r="43" spans="3:5" ht="15.75">
      <c r="C43" s="16"/>
      <c r="D43" s="16"/>
      <c r="E43" s="16"/>
    </row>
    <row r="44" spans="3:5" ht="15.75">
      <c r="C44" s="16"/>
      <c r="D44" s="16"/>
      <c r="E44" s="16"/>
    </row>
    <row r="45" spans="3:5" ht="15.75">
      <c r="C45" s="16"/>
      <c r="D45" s="16"/>
      <c r="E45" s="16"/>
    </row>
    <row r="46" spans="3:5" ht="15.75">
      <c r="C46" s="16"/>
      <c r="D46" s="16"/>
      <c r="E46" s="16"/>
    </row>
    <row r="47" spans="3:5" ht="15.75">
      <c r="C47" s="16"/>
      <c r="D47" s="16"/>
      <c r="E47" s="16"/>
    </row>
    <row r="48" spans="3:5" ht="15.75">
      <c r="C48" s="16"/>
      <c r="D48" s="16"/>
      <c r="E48" s="16"/>
    </row>
    <row r="49" spans="3:5" ht="15.75">
      <c r="C49" s="16"/>
      <c r="D49" s="16"/>
      <c r="E49" s="16"/>
    </row>
    <row r="50" spans="3:5" ht="15.75">
      <c r="C50" s="16"/>
      <c r="D50" s="16"/>
      <c r="E50" s="16"/>
    </row>
    <row r="51" spans="3:5" ht="15.75">
      <c r="C51" s="16"/>
      <c r="D51" s="16"/>
      <c r="E51" s="16"/>
    </row>
    <row r="52" spans="3:5" ht="15.75">
      <c r="C52" s="16"/>
      <c r="D52" s="16"/>
      <c r="E52" s="16"/>
    </row>
    <row r="53" spans="3:5" ht="15.75">
      <c r="C53" s="16"/>
      <c r="D53" s="16"/>
      <c r="E53" s="16"/>
    </row>
  </sheetData>
  <mergeCells count="2">
    <mergeCell ref="C2:E2"/>
    <mergeCell ref="C3:E3"/>
  </mergeCells>
  <hyperlinks>
    <hyperlink ref="G2" location="'15'!A1" display="[15]"/>
    <hyperlink ref="G3" location="'14'!A1" display="[14]"/>
  </hyperlinks>
  <printOptions/>
  <pageMargins left="0.75" right="0.75" top="1" bottom="1" header="0.5" footer="0.5"/>
  <pageSetup horizontalDpi="300" verticalDpi="300" orientation="portrait" r:id="rId3"/>
  <legacyDrawing r:id="rId2"/>
</worksheet>
</file>

<file path=xl/worksheets/sheet15.xml><?xml version="1.0" encoding="utf-8"?>
<worksheet xmlns="http://schemas.openxmlformats.org/spreadsheetml/2006/main" xmlns:r="http://schemas.openxmlformats.org/officeDocument/2006/relationships">
  <sheetPr codeName="Sheet17"/>
  <dimension ref="A1:K54"/>
  <sheetViews>
    <sheetView workbookViewId="0" topLeftCell="A1">
      <selection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9:11" ht="16.5" thickBot="1">
      <c r="I1" s="4" t="s">
        <v>72</v>
      </c>
      <c r="J1" s="19">
        <f>IF(AND(J2&gt;9,'11'!J3="Max9"),9,J2)</f>
        <v>0</v>
      </c>
      <c r="K1" s="2" t="str">
        <f>6!I1</f>
        <v>Torso</v>
      </c>
    </row>
    <row r="2" spans="1:10" ht="15.75" customHeight="1">
      <c r="A2" s="9" t="s">
        <v>223</v>
      </c>
      <c r="B2" s="9"/>
      <c r="C2" s="129" t="s">
        <v>303</v>
      </c>
      <c r="D2" s="140"/>
      <c r="E2" s="141"/>
      <c r="F2" s="35"/>
      <c r="G2" s="33" t="s">
        <v>227</v>
      </c>
      <c r="I2" s="22"/>
      <c r="J2" s="53">
        <f>'13'!J1+G14</f>
        <v>0</v>
      </c>
    </row>
    <row r="3" spans="1:9" ht="15.75">
      <c r="A3" s="9"/>
      <c r="B3" s="9"/>
      <c r="C3" s="9"/>
      <c r="E3" s="1"/>
      <c r="G3" s="8"/>
      <c r="I3" s="2"/>
    </row>
    <row r="4" spans="1:9" ht="15.75">
      <c r="A4" s="9"/>
      <c r="B4" s="9"/>
      <c r="C4" s="51" t="s">
        <v>225</v>
      </c>
      <c r="E4" s="1"/>
      <c r="G4" s="8"/>
      <c r="I4" s="2"/>
    </row>
    <row r="5" spans="4:9" ht="15.75">
      <c r="D5" s="42" t="s">
        <v>132</v>
      </c>
      <c r="E5" s="44">
        <v>3</v>
      </c>
      <c r="G5" s="47">
        <f>IF(I5=TRUE,E5,"")</f>
      </c>
      <c r="I5" s="34" t="b">
        <v>0</v>
      </c>
    </row>
    <row r="6" spans="4:9" ht="15.75">
      <c r="D6" s="42" t="s">
        <v>495</v>
      </c>
      <c r="E6" s="44">
        <v>1</v>
      </c>
      <c r="G6" s="47">
        <f>IF(I6=TRUE,E6,"")</f>
      </c>
      <c r="I6" s="34" t="b">
        <v>0</v>
      </c>
    </row>
    <row r="7" spans="3:9" ht="15.75">
      <c r="C7" s="32"/>
      <c r="D7" s="42" t="s">
        <v>496</v>
      </c>
      <c r="E7" s="44">
        <v>2</v>
      </c>
      <c r="G7" s="47">
        <f>IF(I7=TRUE,E7,"")</f>
      </c>
      <c r="I7" s="34" t="b">
        <v>0</v>
      </c>
    </row>
    <row r="8" spans="3:9" ht="15.75">
      <c r="C8" s="16"/>
      <c r="D8" s="42" t="s">
        <v>133</v>
      </c>
      <c r="E8" s="44">
        <v>1</v>
      </c>
      <c r="G8" s="47">
        <f>IF(I8=TRUE,E8,"")</f>
      </c>
      <c r="I8" s="34" t="b">
        <v>0</v>
      </c>
    </row>
    <row r="9" spans="3:9" ht="15.75">
      <c r="C9" s="50" t="s">
        <v>226</v>
      </c>
      <c r="D9" s="16"/>
      <c r="E9" s="16"/>
      <c r="I9" s="34"/>
    </row>
    <row r="10" spans="3:9" ht="15.75">
      <c r="C10" s="16"/>
      <c r="D10" s="42" t="s">
        <v>149</v>
      </c>
      <c r="E10" s="44">
        <v>1</v>
      </c>
      <c r="G10" s="47">
        <f>IF(I10=TRUE,E10,"")</f>
      </c>
      <c r="I10" s="34" t="b">
        <v>0</v>
      </c>
    </row>
    <row r="11" spans="3:9" ht="15.75">
      <c r="C11" s="16"/>
      <c r="D11" s="42" t="s">
        <v>150</v>
      </c>
      <c r="E11" s="44">
        <v>1</v>
      </c>
      <c r="G11" s="47">
        <f>IF(I11=TRUE,E11,"")</f>
      </c>
      <c r="I11" s="34" t="b">
        <v>0</v>
      </c>
    </row>
    <row r="12" spans="3:9" ht="15.75">
      <c r="C12" s="16"/>
      <c r="D12" s="42" t="s">
        <v>151</v>
      </c>
      <c r="E12" s="44" t="s">
        <v>56</v>
      </c>
      <c r="G12" s="47">
        <f>IF(I12=TRUE,E12,"")</f>
      </c>
      <c r="I12" s="34" t="b">
        <v>0</v>
      </c>
    </row>
    <row r="13" spans="3:9" ht="15.75">
      <c r="C13" s="16"/>
      <c r="D13" s="42" t="s">
        <v>152</v>
      </c>
      <c r="E13" s="44">
        <v>-2</v>
      </c>
      <c r="G13" s="47">
        <f>IF(I13=TRUE,E13,"")</f>
      </c>
      <c r="I13" s="34" t="b">
        <v>0</v>
      </c>
    </row>
    <row r="14" spans="3:7" ht="15.75">
      <c r="C14" s="16"/>
      <c r="D14" s="16"/>
      <c r="E14" s="16"/>
      <c r="G14" s="41">
        <f>SUM(G5:G13)</f>
        <v>0</v>
      </c>
    </row>
    <row r="15" spans="3:5" ht="15.75">
      <c r="C15" s="16"/>
      <c r="D15" s="16"/>
      <c r="E15" s="16"/>
    </row>
    <row r="16" spans="3:5" ht="15.75">
      <c r="C16" s="16"/>
      <c r="D16" s="16"/>
      <c r="E16" s="16"/>
    </row>
    <row r="17" spans="3:5" ht="15.75">
      <c r="C17" s="16"/>
      <c r="D17" s="16"/>
      <c r="E17" s="16"/>
    </row>
    <row r="18" spans="3:5" ht="15.75">
      <c r="C18" s="16"/>
      <c r="D18" s="16"/>
      <c r="E18" s="16"/>
    </row>
    <row r="19" spans="3:5" ht="15.75">
      <c r="C19" s="16"/>
      <c r="D19" s="16"/>
      <c r="E19" s="16"/>
    </row>
    <row r="20" spans="3:5" ht="15.75">
      <c r="C20" s="16"/>
      <c r="D20" s="16"/>
      <c r="E20" s="16"/>
    </row>
    <row r="21" spans="3:5" ht="15.75">
      <c r="C21" s="16"/>
      <c r="D21" s="16"/>
      <c r="E21" s="16"/>
    </row>
    <row r="22" spans="3:5" ht="15.75">
      <c r="C22" s="16"/>
      <c r="D22" s="16"/>
      <c r="E22" s="16"/>
    </row>
    <row r="23" spans="3:5" ht="15.75">
      <c r="C23" s="16"/>
      <c r="D23" s="16"/>
      <c r="E23" s="16"/>
    </row>
    <row r="24" spans="3:5" ht="15.75">
      <c r="C24" s="16"/>
      <c r="D24" s="16"/>
      <c r="E24" s="16"/>
    </row>
    <row r="25" spans="3:5" ht="15.75">
      <c r="C25" s="16"/>
      <c r="D25" s="16"/>
      <c r="E25" s="16"/>
    </row>
    <row r="26" spans="3:5" ht="15.75">
      <c r="C26" s="16"/>
      <c r="D26" s="16"/>
      <c r="E26" s="16"/>
    </row>
    <row r="27" spans="3:5" ht="15.75">
      <c r="C27" s="16"/>
      <c r="D27" s="16"/>
      <c r="E27" s="16"/>
    </row>
    <row r="28" spans="3:5" ht="15.75">
      <c r="C28" s="16"/>
      <c r="D28" s="16"/>
      <c r="E28" s="16"/>
    </row>
    <row r="29" spans="3:5" ht="15.75">
      <c r="C29" s="16"/>
      <c r="D29" s="16"/>
      <c r="E29" s="16"/>
    </row>
    <row r="30" spans="3:5" ht="15.75">
      <c r="C30" s="16"/>
      <c r="D30" s="16"/>
      <c r="E30" s="16"/>
    </row>
    <row r="31" spans="3:5" ht="15.75">
      <c r="C31" s="16"/>
      <c r="D31" s="16"/>
      <c r="E31" s="16"/>
    </row>
    <row r="32" spans="3:5" ht="15.75">
      <c r="C32" s="16"/>
      <c r="D32" s="16"/>
      <c r="E32" s="16"/>
    </row>
    <row r="33" spans="3:5" ht="15.75">
      <c r="C33" s="16"/>
      <c r="D33" s="16"/>
      <c r="E33" s="16"/>
    </row>
    <row r="34" spans="3:5" ht="15.75">
      <c r="C34" s="16"/>
      <c r="D34" s="16"/>
      <c r="E34" s="16"/>
    </row>
    <row r="35" spans="3:5" ht="15.75">
      <c r="C35" s="16"/>
      <c r="D35" s="16"/>
      <c r="E35" s="16"/>
    </row>
    <row r="36" spans="3:5" ht="15.75">
      <c r="C36" s="16"/>
      <c r="D36" s="16"/>
      <c r="E36" s="16"/>
    </row>
    <row r="37" spans="3:5" ht="15.75">
      <c r="C37" s="16"/>
      <c r="D37" s="16"/>
      <c r="E37" s="16"/>
    </row>
    <row r="38" spans="3:5" ht="15.75">
      <c r="C38" s="16"/>
      <c r="D38" s="16"/>
      <c r="E38" s="16"/>
    </row>
    <row r="39" spans="3:5" ht="15.75">
      <c r="C39" s="16"/>
      <c r="D39" s="16"/>
      <c r="E39" s="16"/>
    </row>
    <row r="40" spans="3:5" ht="15.75">
      <c r="C40" s="16"/>
      <c r="D40" s="16"/>
      <c r="E40" s="16"/>
    </row>
    <row r="41" spans="3:5" ht="15.75">
      <c r="C41" s="16"/>
      <c r="D41" s="16"/>
      <c r="E41" s="16"/>
    </row>
    <row r="42" spans="3:5" ht="15.75">
      <c r="C42" s="16"/>
      <c r="D42" s="16"/>
      <c r="E42" s="16"/>
    </row>
    <row r="43" spans="3:5" ht="15.75">
      <c r="C43" s="16"/>
      <c r="D43" s="16"/>
      <c r="E43" s="16"/>
    </row>
    <row r="44" spans="3:5" ht="15.75">
      <c r="C44" s="16"/>
      <c r="D44" s="16"/>
      <c r="E44" s="16"/>
    </row>
    <row r="45" spans="3:5" ht="15.75">
      <c r="C45" s="16"/>
      <c r="D45" s="16"/>
      <c r="E45" s="16"/>
    </row>
    <row r="46" spans="3:5" ht="15.75">
      <c r="C46" s="16"/>
      <c r="D46" s="16"/>
      <c r="E46" s="16"/>
    </row>
    <row r="47" spans="3:5" ht="15.75">
      <c r="C47" s="16"/>
      <c r="D47" s="16"/>
      <c r="E47" s="16"/>
    </row>
    <row r="48" spans="3:5" ht="15.75">
      <c r="C48" s="16"/>
      <c r="D48" s="16"/>
      <c r="E48" s="16"/>
    </row>
    <row r="49" spans="3:5" ht="15.75">
      <c r="C49" s="16"/>
      <c r="D49" s="16"/>
      <c r="E49" s="16"/>
    </row>
    <row r="50" spans="3:5" ht="15.75">
      <c r="C50" s="16"/>
      <c r="D50" s="16"/>
      <c r="E50" s="16"/>
    </row>
    <row r="51" spans="3:5" ht="15.75">
      <c r="C51" s="16"/>
      <c r="D51" s="16"/>
      <c r="E51" s="16"/>
    </row>
    <row r="52" spans="3:5" ht="15.75">
      <c r="C52" s="16"/>
      <c r="D52" s="16"/>
      <c r="E52" s="16"/>
    </row>
    <row r="53" spans="3:5" ht="15.75">
      <c r="C53" s="16"/>
      <c r="D53" s="16"/>
      <c r="E53" s="16"/>
    </row>
    <row r="54" spans="3:5" ht="15.75">
      <c r="C54" s="16"/>
      <c r="D54" s="16"/>
      <c r="E54" s="16"/>
    </row>
  </sheetData>
  <mergeCells count="1">
    <mergeCell ref="C2:E2"/>
  </mergeCells>
  <dataValidations count="2">
    <dataValidation type="list" allowBlank="1" showInputMessage="1" showErrorMessage="1" sqref="E5:E6 E11">
      <formula1>"choose,1,2,3,4,5,6,7,8,9,10"</formula1>
    </dataValidation>
    <dataValidation type="list" allowBlank="1" showInputMessage="1" showErrorMessage="1" sqref="E12">
      <formula1>"choose,1,2,3"</formula1>
    </dataValidation>
  </dataValidations>
  <hyperlinks>
    <hyperlink ref="G2" location="'15'!A1" display="[15]"/>
  </hyperlinks>
  <printOptions/>
  <pageMargins left="0.75" right="0.75" top="1" bottom="1" header="0.5" footer="0.5"/>
  <pageSetup horizontalDpi="300" verticalDpi="300" orientation="portrait" r:id="rId3"/>
  <legacyDrawing r:id="rId2"/>
</worksheet>
</file>

<file path=xl/worksheets/sheet16.xml><?xml version="1.0" encoding="utf-8"?>
<worksheet xmlns="http://schemas.openxmlformats.org/spreadsheetml/2006/main" xmlns:r="http://schemas.openxmlformats.org/officeDocument/2006/relationships">
  <sheetPr codeName="Sheet18"/>
  <dimension ref="A1:K52"/>
  <sheetViews>
    <sheetView workbookViewId="0" topLeftCell="A1">
      <selection activeCell="A1" sqref="A1"/>
    </sheetView>
  </sheetViews>
  <sheetFormatPr defaultColWidth="8.796875" defaultRowHeight="15"/>
  <cols>
    <col min="1" max="1" width="5.19921875" style="7" customWidth="1"/>
    <col min="2" max="2" width="0.8984375" style="7" customWidth="1"/>
    <col min="3" max="4" width="15.19921875" style="7" customWidth="1"/>
    <col min="5" max="5" width="15.19921875" style="10" customWidth="1"/>
    <col min="6" max="6" width="0.8984375" style="7" customWidth="1"/>
    <col min="7" max="7" width="7.69921875" style="16" customWidth="1"/>
    <col min="8" max="8" width="0.8984375" style="7" customWidth="1"/>
    <col min="9" max="9" width="15.5" style="16" customWidth="1"/>
    <col min="10" max="11" width="7.69921875" style="7" customWidth="1"/>
  </cols>
  <sheetData>
    <row r="1" spans="9:11" ht="16.5" thickBot="1">
      <c r="I1" s="2" t="s">
        <v>72</v>
      </c>
      <c r="J1" s="19">
        <f>'14'!J1</f>
        <v>0</v>
      </c>
      <c r="K1" s="2" t="str">
        <f>6!I1</f>
        <v>Torso</v>
      </c>
    </row>
    <row r="2" spans="1:10" ht="31.5" customHeight="1">
      <c r="A2" s="9" t="s">
        <v>227</v>
      </c>
      <c r="B2" s="9"/>
      <c r="C2" s="129" t="s">
        <v>304</v>
      </c>
      <c r="D2" s="140"/>
      <c r="E2" s="141"/>
      <c r="F2" s="35"/>
      <c r="G2" s="33" t="s">
        <v>273</v>
      </c>
      <c r="I2" s="22"/>
      <c r="J2" s="22"/>
    </row>
    <row r="3" spans="1:9" ht="15.75">
      <c r="A3" s="9"/>
      <c r="B3" s="9"/>
      <c r="C3" s="9"/>
      <c r="E3" s="3"/>
      <c r="G3" s="8"/>
      <c r="I3" s="2"/>
    </row>
    <row r="4" spans="5:9" ht="15.75">
      <c r="E4" s="10" t="s">
        <v>228</v>
      </c>
      <c r="G4" s="47" t="str">
        <f>1!E4</f>
        <v>choose</v>
      </c>
      <c r="I4" s="54" t="s">
        <v>43</v>
      </c>
    </row>
    <row r="5" spans="3:9" ht="15.75">
      <c r="C5" s="32"/>
      <c r="D5" s="32"/>
      <c r="E5" s="10" t="s">
        <v>231</v>
      </c>
      <c r="G5" s="47">
        <f>5!C11</f>
        <v>0</v>
      </c>
      <c r="I5" s="54" t="s">
        <v>74</v>
      </c>
    </row>
    <row r="6" spans="3:9" ht="15.75">
      <c r="C6" s="16"/>
      <c r="D6" s="16"/>
      <c r="E6" s="10" t="s">
        <v>229</v>
      </c>
      <c r="G6" s="47">
        <f>7!I4</f>
        <v>0</v>
      </c>
      <c r="I6" s="54" t="s">
        <v>78</v>
      </c>
    </row>
    <row r="7" spans="3:9" ht="15.75">
      <c r="C7" s="16"/>
      <c r="D7" s="16"/>
      <c r="E7" s="10" t="s">
        <v>230</v>
      </c>
      <c r="G7" s="47">
        <f>8!I4</f>
        <v>0</v>
      </c>
      <c r="I7" s="54" t="s">
        <v>80</v>
      </c>
    </row>
    <row r="8" spans="3:9" ht="15.75">
      <c r="C8" s="16"/>
      <c r="D8" s="16"/>
      <c r="E8" s="10" t="s">
        <v>232</v>
      </c>
      <c r="G8" s="47">
        <f>9!G25</f>
        <v>0</v>
      </c>
      <c r="I8" s="54" t="s">
        <v>84</v>
      </c>
    </row>
    <row r="9" spans="3:9" ht="15.75">
      <c r="C9" s="16"/>
      <c r="D9" s="16"/>
      <c r="E9" s="10" t="s">
        <v>233</v>
      </c>
      <c r="G9" s="47">
        <f>'10'!G37</f>
        <v>0</v>
      </c>
      <c r="I9" s="54" t="s">
        <v>216</v>
      </c>
    </row>
    <row r="10" spans="3:9" ht="15.75">
      <c r="C10" s="16"/>
      <c r="D10" s="16"/>
      <c r="E10" s="10" t="s">
        <v>234</v>
      </c>
      <c r="G10" s="47">
        <f>'11'!G22</f>
        <v>0</v>
      </c>
      <c r="I10" s="54" t="s">
        <v>215</v>
      </c>
    </row>
    <row r="11" spans="3:9" ht="15.75">
      <c r="C11" s="16"/>
      <c r="D11" s="16"/>
      <c r="E11" s="10" t="s">
        <v>86</v>
      </c>
      <c r="G11" s="47">
        <f>'12'!G13</f>
        <v>0</v>
      </c>
      <c r="I11" s="54" t="s">
        <v>77</v>
      </c>
    </row>
    <row r="12" spans="3:9" ht="15.75">
      <c r="C12" s="16"/>
      <c r="D12" s="16"/>
      <c r="E12" s="10" t="s">
        <v>235</v>
      </c>
      <c r="G12" s="47">
        <f>'13'!G16</f>
        <v>0</v>
      </c>
      <c r="I12" s="54" t="s">
        <v>222</v>
      </c>
    </row>
    <row r="13" spans="3:9" ht="15.75">
      <c r="C13" s="16"/>
      <c r="D13" s="16"/>
      <c r="E13" s="10" t="s">
        <v>236</v>
      </c>
      <c r="G13" s="47">
        <f>'14'!G14</f>
        <v>0</v>
      </c>
      <c r="I13" s="54" t="s">
        <v>223</v>
      </c>
    </row>
    <row r="14" spans="3:4" ht="15.75">
      <c r="C14" s="16"/>
      <c r="D14" s="16"/>
    </row>
    <row r="15" spans="3:4" ht="15.75">
      <c r="C15" s="55">
        <f>IF('11'!J3="Max9","NOTE: Effective Skill cannot exceed 9 due to Visibility options from Step [11]","")</f>
      </c>
      <c r="D15" s="16"/>
    </row>
    <row r="16" spans="3:4" ht="15.75">
      <c r="C16" s="16"/>
      <c r="D16" s="16"/>
    </row>
    <row r="17" spans="3:4" ht="15.75">
      <c r="C17" s="16"/>
      <c r="D17" s="16"/>
    </row>
    <row r="18" spans="3:4" ht="15.75">
      <c r="C18" s="16"/>
      <c r="D18" s="16"/>
    </row>
    <row r="19" spans="3:4" ht="15.75">
      <c r="C19" s="16"/>
      <c r="D19" s="16"/>
    </row>
    <row r="20" spans="3:4" ht="15.75">
      <c r="C20" s="16"/>
      <c r="D20" s="16"/>
    </row>
    <row r="21" spans="3:4" ht="15.75">
      <c r="C21" s="16"/>
      <c r="D21" s="16"/>
    </row>
    <row r="22" spans="3:4" ht="15.75">
      <c r="C22" s="16"/>
      <c r="D22" s="16"/>
    </row>
    <row r="23" spans="3:4" ht="15.75">
      <c r="C23" s="16"/>
      <c r="D23" s="16"/>
    </row>
    <row r="24" spans="3:4" ht="15.75">
      <c r="C24" s="16"/>
      <c r="D24" s="16"/>
    </row>
    <row r="25" spans="3:4" ht="15.75">
      <c r="C25" s="16"/>
      <c r="D25" s="16"/>
    </row>
    <row r="26" spans="3:4" ht="15.75">
      <c r="C26" s="16"/>
      <c r="D26" s="16"/>
    </row>
    <row r="27" spans="3:4" ht="15.75">
      <c r="C27" s="16"/>
      <c r="D27" s="16"/>
    </row>
    <row r="28" spans="3:4" ht="15.75">
      <c r="C28" s="16"/>
      <c r="D28" s="16"/>
    </row>
    <row r="29" spans="3:4" ht="15.75">
      <c r="C29" s="16"/>
      <c r="D29" s="16"/>
    </row>
    <row r="30" spans="3:4" ht="15.75">
      <c r="C30" s="16"/>
      <c r="D30" s="16"/>
    </row>
    <row r="31" spans="3:4" ht="15.75">
      <c r="C31" s="16"/>
      <c r="D31" s="16"/>
    </row>
    <row r="32" spans="3:4" ht="15.75">
      <c r="C32" s="16"/>
      <c r="D32" s="16"/>
    </row>
    <row r="33" spans="3:4" ht="15.75">
      <c r="C33" s="16"/>
      <c r="D33" s="16"/>
    </row>
    <row r="34" spans="3:4" ht="15.75">
      <c r="C34" s="16"/>
      <c r="D34" s="16"/>
    </row>
    <row r="35" spans="3:4" ht="15.75">
      <c r="C35" s="16"/>
      <c r="D35" s="16"/>
    </row>
    <row r="36" spans="3:4" ht="15.75">
      <c r="C36" s="16"/>
      <c r="D36" s="16"/>
    </row>
    <row r="37" spans="3:4" ht="15.75">
      <c r="C37" s="16"/>
      <c r="D37" s="16"/>
    </row>
    <row r="38" spans="3:4" ht="15.75">
      <c r="C38" s="16"/>
      <c r="D38" s="16"/>
    </row>
    <row r="39" spans="3:4" ht="15.75">
      <c r="C39" s="16"/>
      <c r="D39" s="16"/>
    </row>
    <row r="40" spans="3:4" ht="15.75">
      <c r="C40" s="16"/>
      <c r="D40" s="16"/>
    </row>
    <row r="41" spans="3:4" ht="15.75">
      <c r="C41" s="16"/>
      <c r="D41" s="16"/>
    </row>
    <row r="42" spans="3:4" ht="15.75">
      <c r="C42" s="16"/>
      <c r="D42" s="16"/>
    </row>
    <row r="43" spans="3:4" ht="15.75">
      <c r="C43" s="16"/>
      <c r="D43" s="16"/>
    </row>
    <row r="44" spans="3:4" ht="15.75">
      <c r="C44" s="16"/>
      <c r="D44" s="16"/>
    </row>
    <row r="45" spans="3:4" ht="15.75">
      <c r="C45" s="16"/>
      <c r="D45" s="16"/>
    </row>
    <row r="46" spans="3:4" ht="15.75">
      <c r="C46" s="16"/>
      <c r="D46" s="16"/>
    </row>
    <row r="47" spans="3:4" ht="15.75">
      <c r="C47" s="16"/>
      <c r="D47" s="16"/>
    </row>
    <row r="48" spans="3:4" ht="15.75">
      <c r="C48" s="16"/>
      <c r="D48" s="16"/>
    </row>
    <row r="49" spans="3:4" ht="15.75">
      <c r="C49" s="16"/>
      <c r="D49" s="16"/>
    </row>
    <row r="50" spans="3:4" ht="15.75">
      <c r="C50" s="16"/>
      <c r="D50" s="16"/>
    </row>
    <row r="51" spans="3:4" ht="15.75">
      <c r="C51" s="16"/>
      <c r="D51" s="16"/>
    </row>
    <row r="52" spans="3:4" ht="15.75">
      <c r="C52" s="16"/>
      <c r="D52" s="16"/>
    </row>
  </sheetData>
  <mergeCells count="1">
    <mergeCell ref="C2:E2"/>
  </mergeCells>
  <hyperlinks>
    <hyperlink ref="G2" location="'21'!A1" display="[21]"/>
    <hyperlink ref="I4" location="'1'!A1" display="[1]"/>
    <hyperlink ref="I5" location="'5'!A1" display="[5]"/>
    <hyperlink ref="I6" location="'7'!A1" display="[7]"/>
    <hyperlink ref="I7" location="'8'!A1" display="[8]"/>
    <hyperlink ref="I8" location="'9'!A1" display="[9]"/>
    <hyperlink ref="I9" location="'10'!A1" display="[10]"/>
    <hyperlink ref="I10" location="'11'!A1" display="[11]"/>
    <hyperlink ref="I11" location="'12'!A1" display="[12]"/>
    <hyperlink ref="I12" location="'13'!A1" display="[13]"/>
    <hyperlink ref="I13" location="'14'!A1" display="[14]"/>
  </hyperlinks>
  <printOptions/>
  <pageMargins left="0.75" right="0.75" top="1" bottom="1" header="0.5" footer="0.5"/>
  <pageSetup horizontalDpi="300" verticalDpi="300" orientation="portrait" r:id="rId1"/>
</worksheet>
</file>

<file path=xl/worksheets/sheet17.xml><?xml version="1.0" encoding="utf-8"?>
<worksheet xmlns="http://schemas.openxmlformats.org/spreadsheetml/2006/main" xmlns:r="http://schemas.openxmlformats.org/officeDocument/2006/relationships">
  <sheetPr codeName="Sheet19"/>
  <dimension ref="A1:K55"/>
  <sheetViews>
    <sheetView workbookViewId="0" topLeftCell="A1">
      <pane ySplit="7" topLeftCell="BM8" activePane="bottomLeft" state="frozen"/>
      <selection pane="topLeft" activeCell="A1" sqref="A1"/>
      <selection pane="bottomLeft"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7" customWidth="1"/>
    <col min="8" max="8" width="0.8984375" style="7" customWidth="1"/>
    <col min="9" max="9" width="15.5" style="7" customWidth="1"/>
    <col min="10" max="11" width="7.69921875" style="7" customWidth="1"/>
  </cols>
  <sheetData>
    <row r="1" spans="9:11" ht="16.5" thickBot="1">
      <c r="I1" s="4" t="s">
        <v>72</v>
      </c>
      <c r="J1" s="19">
        <f>6!H1+G6</f>
        <v>0</v>
      </c>
      <c r="K1" s="2" t="str">
        <f>6!I1</f>
        <v>Torso</v>
      </c>
    </row>
    <row r="2" spans="1:10" ht="32.25" customHeight="1">
      <c r="A2" s="9" t="s">
        <v>237</v>
      </c>
      <c r="C2" s="129" t="s">
        <v>305</v>
      </c>
      <c r="D2" s="130"/>
      <c r="E2" s="131"/>
      <c r="G2" s="33" t="s">
        <v>253</v>
      </c>
      <c r="I2" s="22"/>
      <c r="J2" s="22"/>
    </row>
    <row r="3" spans="1:9" ht="15.75">
      <c r="A3" s="9"/>
      <c r="E3" s="1"/>
      <c r="G3" s="8"/>
      <c r="I3" s="2"/>
    </row>
    <row r="4" spans="1:10" ht="15.75">
      <c r="A4" s="9"/>
      <c r="E4" s="4" t="s">
        <v>250</v>
      </c>
      <c r="G4" s="12" t="s">
        <v>56</v>
      </c>
      <c r="I4" s="34">
        <f>IF(G4="choose",0,G4)</f>
        <v>0</v>
      </c>
      <c r="J4" s="34"/>
    </row>
    <row r="5" spans="1:10" ht="15.75">
      <c r="A5" s="9"/>
      <c r="E5" s="4" t="s">
        <v>79</v>
      </c>
      <c r="G5" s="12" t="s">
        <v>56</v>
      </c>
      <c r="I5" s="34">
        <f>IF(G5="choose",0,G5)</f>
        <v>0</v>
      </c>
      <c r="J5" s="34"/>
    </row>
    <row r="6" spans="1:10" ht="15.75">
      <c r="A6" s="9"/>
      <c r="E6" s="4" t="s">
        <v>251</v>
      </c>
      <c r="G6" s="6">
        <f>IF(I4&lt;I5,0+J6,0-J6)</f>
        <v>0</v>
      </c>
      <c r="I6" s="34">
        <f>ABS(I4-I5)</f>
        <v>0</v>
      </c>
      <c r="J6" s="34">
        <f>IF(AND(I4&lt;I5,I6&gt;4),4,I6)</f>
        <v>0</v>
      </c>
    </row>
    <row r="8" spans="4:5" ht="15.75">
      <c r="D8" s="38" t="s">
        <v>156</v>
      </c>
      <c r="E8" s="38" t="s">
        <v>157</v>
      </c>
    </row>
    <row r="9" spans="4:11" ht="15.75">
      <c r="D9" s="37">
        <v>-15</v>
      </c>
      <c r="E9" s="37" t="s">
        <v>158</v>
      </c>
      <c r="I9" s="138" t="s">
        <v>205</v>
      </c>
      <c r="J9" s="139"/>
      <c r="K9" s="139"/>
    </row>
    <row r="10" spans="4:11" ht="15.75">
      <c r="D10" s="37">
        <v>-14</v>
      </c>
      <c r="E10" s="37" t="s">
        <v>160</v>
      </c>
      <c r="I10" s="139"/>
      <c r="J10" s="139"/>
      <c r="K10" s="139"/>
    </row>
    <row r="11" spans="4:11" ht="15.75">
      <c r="D11" s="16">
        <v>-13</v>
      </c>
      <c r="E11" s="16" t="s">
        <v>161</v>
      </c>
      <c r="I11" s="139"/>
      <c r="J11" s="139"/>
      <c r="K11" s="139"/>
    </row>
    <row r="12" spans="4:11" ht="15.75">
      <c r="D12" s="16">
        <v>-12</v>
      </c>
      <c r="E12" s="16" t="s">
        <v>162</v>
      </c>
      <c r="I12" s="139"/>
      <c r="J12" s="139"/>
      <c r="K12" s="139"/>
    </row>
    <row r="13" spans="4:11" ht="15.75">
      <c r="D13" s="37">
        <v>-11</v>
      </c>
      <c r="E13" s="37" t="s">
        <v>163</v>
      </c>
      <c r="I13" s="139"/>
      <c r="J13" s="139"/>
      <c r="K13" s="139"/>
    </row>
    <row r="14" spans="4:5" ht="15.75">
      <c r="D14" s="37">
        <v>-10</v>
      </c>
      <c r="E14" s="37" t="s">
        <v>164</v>
      </c>
    </row>
    <row r="15" spans="4:11" ht="15.75">
      <c r="D15" s="16">
        <v>-9</v>
      </c>
      <c r="E15" s="16" t="s">
        <v>165</v>
      </c>
      <c r="I15" s="145" t="s">
        <v>249</v>
      </c>
      <c r="J15" s="146"/>
      <c r="K15" s="146"/>
    </row>
    <row r="16" spans="4:11" ht="15.75">
      <c r="D16" s="16">
        <v>-8</v>
      </c>
      <c r="E16" s="16" t="s">
        <v>166</v>
      </c>
      <c r="I16" s="146"/>
      <c r="J16" s="146"/>
      <c r="K16" s="146"/>
    </row>
    <row r="17" spans="4:11" ht="15.75">
      <c r="D17" s="16">
        <v>-7</v>
      </c>
      <c r="E17" s="16" t="s">
        <v>167</v>
      </c>
      <c r="I17" s="146"/>
      <c r="J17" s="146"/>
      <c r="K17" s="146"/>
    </row>
    <row r="18" spans="4:11" ht="15.75">
      <c r="D18" s="16">
        <v>-6</v>
      </c>
      <c r="E18" s="16" t="s">
        <v>168</v>
      </c>
      <c r="I18" s="146"/>
      <c r="J18" s="146"/>
      <c r="K18" s="146"/>
    </row>
    <row r="19" spans="4:11" ht="15.75">
      <c r="D19" s="16">
        <v>-5</v>
      </c>
      <c r="E19" s="16" t="s">
        <v>169</v>
      </c>
      <c r="I19" s="146"/>
      <c r="J19" s="146"/>
      <c r="K19" s="146"/>
    </row>
    <row r="20" spans="4:11" ht="15.75">
      <c r="D20" s="16">
        <v>-4</v>
      </c>
      <c r="E20" s="16" t="s">
        <v>170</v>
      </c>
      <c r="I20" s="146"/>
      <c r="J20" s="146"/>
      <c r="K20" s="146"/>
    </row>
    <row r="21" spans="4:11" ht="15.75">
      <c r="D21" s="16">
        <v>-3</v>
      </c>
      <c r="E21" s="16" t="s">
        <v>171</v>
      </c>
      <c r="I21" s="146"/>
      <c r="J21" s="146"/>
      <c r="K21" s="146"/>
    </row>
    <row r="22" spans="4:11" ht="15.75">
      <c r="D22" s="16">
        <v>-2</v>
      </c>
      <c r="E22" s="16" t="s">
        <v>172</v>
      </c>
      <c r="I22" s="146"/>
      <c r="J22" s="146"/>
      <c r="K22" s="146"/>
    </row>
    <row r="23" spans="4:10" ht="15.75">
      <c r="D23" s="16">
        <v>-1</v>
      </c>
      <c r="E23" s="16" t="s">
        <v>173</v>
      </c>
      <c r="J23" s="56" t="s">
        <v>248</v>
      </c>
    </row>
    <row r="24" spans="4:5" ht="15.75">
      <c r="D24" s="16">
        <v>0</v>
      </c>
      <c r="E24" s="16" t="s">
        <v>174</v>
      </c>
    </row>
    <row r="25" spans="4:5" ht="15.75">
      <c r="D25" s="16">
        <v>1</v>
      </c>
      <c r="E25" s="16" t="s">
        <v>175</v>
      </c>
    </row>
    <row r="26" spans="4:5" ht="15.75">
      <c r="D26" s="16">
        <v>2</v>
      </c>
      <c r="E26" s="16" t="s">
        <v>176</v>
      </c>
    </row>
    <row r="27" spans="4:5" ht="15.75">
      <c r="D27" s="16">
        <v>3</v>
      </c>
      <c r="E27" s="16" t="s">
        <v>177</v>
      </c>
    </row>
    <row r="28" spans="4:5" ht="15.75">
      <c r="D28" s="16">
        <v>4</v>
      </c>
      <c r="E28" s="16" t="s">
        <v>178</v>
      </c>
    </row>
    <row r="29" spans="4:5" ht="15.75">
      <c r="D29" s="16">
        <v>5</v>
      </c>
      <c r="E29" s="16" t="s">
        <v>179</v>
      </c>
    </row>
    <row r="30" spans="4:5" ht="15.75">
      <c r="D30" s="16">
        <v>6</v>
      </c>
      <c r="E30" s="16" t="s">
        <v>180</v>
      </c>
    </row>
    <row r="31" spans="4:5" ht="15.75">
      <c r="D31" s="16">
        <v>7</v>
      </c>
      <c r="E31" s="16" t="s">
        <v>181</v>
      </c>
    </row>
    <row r="32" spans="4:5" ht="15.75">
      <c r="D32" s="16">
        <v>8</v>
      </c>
      <c r="E32" s="16" t="s">
        <v>182</v>
      </c>
    </row>
    <row r="33" spans="4:5" ht="15.75">
      <c r="D33" s="16">
        <v>9</v>
      </c>
      <c r="E33" s="16" t="s">
        <v>183</v>
      </c>
    </row>
    <row r="34" spans="4:5" ht="15.75">
      <c r="D34" s="16">
        <v>10</v>
      </c>
      <c r="E34" s="16" t="s">
        <v>184</v>
      </c>
    </row>
    <row r="35" spans="4:5" ht="15.75">
      <c r="D35" s="16">
        <v>11</v>
      </c>
      <c r="E35" s="16" t="s">
        <v>185</v>
      </c>
    </row>
    <row r="36" spans="4:5" ht="15.75">
      <c r="D36" s="16">
        <v>12</v>
      </c>
      <c r="E36" s="16" t="s">
        <v>186</v>
      </c>
    </row>
    <row r="37" spans="4:5" ht="15.75">
      <c r="D37" s="16">
        <v>13</v>
      </c>
      <c r="E37" s="16" t="s">
        <v>187</v>
      </c>
    </row>
    <row r="38" spans="4:5" ht="15.75">
      <c r="D38" s="16">
        <v>14</v>
      </c>
      <c r="E38" s="16" t="s">
        <v>188</v>
      </c>
    </row>
    <row r="39" spans="4:5" ht="15.75">
      <c r="D39" s="16">
        <v>15</v>
      </c>
      <c r="E39" s="16" t="s">
        <v>189</v>
      </c>
    </row>
    <row r="40" spans="4:5" ht="15.75">
      <c r="D40" s="16">
        <v>16</v>
      </c>
      <c r="E40" s="16" t="s">
        <v>190</v>
      </c>
    </row>
    <row r="41" spans="4:5" ht="15.75">
      <c r="D41" s="16">
        <v>17</v>
      </c>
      <c r="E41" s="16" t="s">
        <v>191</v>
      </c>
    </row>
    <row r="42" spans="4:5" ht="15.75">
      <c r="D42" s="16">
        <v>18</v>
      </c>
      <c r="E42" s="16" t="s">
        <v>192</v>
      </c>
    </row>
    <row r="43" spans="4:5" ht="15.75">
      <c r="D43" s="16">
        <v>19</v>
      </c>
      <c r="E43" s="16" t="s">
        <v>193</v>
      </c>
    </row>
    <row r="44" spans="4:5" ht="15.75">
      <c r="D44" s="16">
        <v>20</v>
      </c>
      <c r="E44" s="16" t="s">
        <v>194</v>
      </c>
    </row>
    <row r="45" spans="4:5" ht="15.75">
      <c r="D45" s="16">
        <v>21</v>
      </c>
      <c r="E45" s="16" t="s">
        <v>195</v>
      </c>
    </row>
    <row r="46" spans="4:5" ht="15.75">
      <c r="D46" s="16">
        <v>22</v>
      </c>
      <c r="E46" s="16" t="s">
        <v>196</v>
      </c>
    </row>
    <row r="47" spans="4:5" ht="15.75">
      <c r="D47" s="16">
        <v>23</v>
      </c>
      <c r="E47" s="16" t="s">
        <v>197</v>
      </c>
    </row>
    <row r="48" spans="4:5" ht="15.75">
      <c r="D48" s="16">
        <v>24</v>
      </c>
      <c r="E48" s="16" t="s">
        <v>198</v>
      </c>
    </row>
    <row r="49" spans="4:5" ht="15.75">
      <c r="D49" s="16">
        <v>25</v>
      </c>
      <c r="E49" s="16" t="s">
        <v>199</v>
      </c>
    </row>
    <row r="50" spans="4:5" ht="15.75">
      <c r="D50" s="16">
        <v>26</v>
      </c>
      <c r="E50" s="16" t="s">
        <v>200</v>
      </c>
    </row>
    <row r="51" spans="4:5" ht="15.75">
      <c r="D51" s="16">
        <v>27</v>
      </c>
      <c r="E51" s="16" t="s">
        <v>201</v>
      </c>
    </row>
    <row r="52" spans="4:5" ht="15.75">
      <c r="D52" s="16">
        <v>28</v>
      </c>
      <c r="E52" s="16" t="s">
        <v>202</v>
      </c>
    </row>
    <row r="53" spans="4:5" ht="15.75">
      <c r="D53" s="16">
        <v>29</v>
      </c>
      <c r="E53" s="16" t="s">
        <v>203</v>
      </c>
    </row>
    <row r="54" spans="4:5" ht="15.75">
      <c r="D54" s="16">
        <v>30</v>
      </c>
      <c r="E54" s="16" t="s">
        <v>204</v>
      </c>
    </row>
    <row r="55" spans="4:5" ht="15.75">
      <c r="D55" s="16" t="s">
        <v>159</v>
      </c>
      <c r="E55" s="16" t="s">
        <v>159</v>
      </c>
    </row>
  </sheetData>
  <mergeCells count="3">
    <mergeCell ref="C2:E2"/>
    <mergeCell ref="I9:K13"/>
    <mergeCell ref="I15:K22"/>
  </mergeCells>
  <dataValidations count="2">
    <dataValidation allowBlank="1" showErrorMessage="1" promptTitle="Unmodified Weapon Skill" prompt="Select your Unmodified Weapon Skill from the range 0 to 35." sqref="G6"/>
    <dataValidation type="list" allowBlank="1" showErrorMessage="1" promptTitle="Unmodified Weapon Skill" prompt="Select your Unmodified Weapon Skill from the range 0 to 35." sqref="G4:G5">
      <formula1>"choose,0,-15,-14,-13,-12,-11,-10,-9,-8,-7,-6,-5,-4,-3,-2,-1,1,2,3,4,5,6,7,8,9,10,11,12,13,14,15,16,17,18,19,20,21,22,23,24,25,26,27,28,29,30"</formula1>
    </dataValidation>
  </dataValidations>
  <hyperlinks>
    <hyperlink ref="G2" location="'17'!A1" display="[17]"/>
    <hyperlink ref="J23" r:id="rId1" display="Faq"/>
  </hyperlinks>
  <printOptions/>
  <pageMargins left="0.75" right="0.75" top="1" bottom="1" header="0.5" footer="0.5"/>
  <pageSetup horizontalDpi="300" verticalDpi="300" orientation="portrait" r:id="rId2"/>
</worksheet>
</file>

<file path=xl/worksheets/sheet18.xml><?xml version="1.0" encoding="utf-8"?>
<worksheet xmlns="http://schemas.openxmlformats.org/spreadsheetml/2006/main" xmlns:r="http://schemas.openxmlformats.org/officeDocument/2006/relationships">
  <sheetPr codeName="Sheet20"/>
  <dimension ref="A1:K38"/>
  <sheetViews>
    <sheetView workbookViewId="0" topLeftCell="A1">
      <selection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7" customWidth="1"/>
    <col min="8" max="8" width="0.8984375" style="7" customWidth="1"/>
    <col min="9" max="9" width="15.5" style="7" customWidth="1"/>
    <col min="10" max="11" width="7.69921875" style="7" customWidth="1"/>
  </cols>
  <sheetData>
    <row r="1" spans="9:11" ht="16.5" thickBot="1">
      <c r="I1" s="4" t="s">
        <v>72</v>
      </c>
      <c r="J1" s="19">
        <f>IF(AND(J2&gt;9,J3="Max9"),9,J2)</f>
        <v>0</v>
      </c>
      <c r="K1" s="2" t="str">
        <f>6!I1</f>
        <v>Torso</v>
      </c>
    </row>
    <row r="2" spans="1:10" ht="32.25" customHeight="1">
      <c r="A2" s="9" t="s">
        <v>253</v>
      </c>
      <c r="B2" s="9"/>
      <c r="C2" s="129" t="s">
        <v>306</v>
      </c>
      <c r="D2" s="140"/>
      <c r="E2" s="141"/>
      <c r="F2" s="35"/>
      <c r="G2" s="33" t="s">
        <v>255</v>
      </c>
      <c r="I2" s="22"/>
      <c r="J2" s="53">
        <f>'16'!J1+G19</f>
        <v>0</v>
      </c>
    </row>
    <row r="3" spans="3:10" ht="15.75">
      <c r="C3" s="46"/>
      <c r="D3" s="45"/>
      <c r="E3" s="44"/>
      <c r="I3" s="34"/>
      <c r="J3" s="34" t="str">
        <f>IF(OR(I6=TRUE,I13=TRUE,I14=TRUE,I15=TRUE,I16=TRUE),"Max9","NoMax")</f>
        <v>NoMax</v>
      </c>
    </row>
    <row r="4" spans="3:9" ht="15.75">
      <c r="C4" s="46" t="s">
        <v>48</v>
      </c>
      <c r="D4" s="45"/>
      <c r="E4" s="44"/>
      <c r="I4" s="34"/>
    </row>
    <row r="5" spans="3:9" ht="15.75">
      <c r="C5" s="45"/>
      <c r="D5" s="42" t="s">
        <v>87</v>
      </c>
      <c r="E5" s="44">
        <v>4</v>
      </c>
      <c r="G5" s="57">
        <f>IF(I5=TRUE,E5,"")</f>
      </c>
      <c r="I5" s="34" t="b">
        <v>0</v>
      </c>
    </row>
    <row r="6" spans="4:9" ht="15.75">
      <c r="D6" s="42" t="s">
        <v>260</v>
      </c>
      <c r="E6" s="44">
        <v>-4</v>
      </c>
      <c r="G6" s="6">
        <f>IF(I6=TRUE,E6,"")</f>
      </c>
      <c r="I6" s="34" t="b">
        <v>0</v>
      </c>
    </row>
    <row r="7" spans="4:9" ht="15.75">
      <c r="D7" s="42"/>
      <c r="E7" s="44"/>
      <c r="G7" s="12"/>
      <c r="I7" s="34"/>
    </row>
    <row r="8" spans="3:9" ht="15.75">
      <c r="C8" s="50" t="s">
        <v>49</v>
      </c>
      <c r="D8" s="42"/>
      <c r="E8" s="44"/>
      <c r="G8" s="12"/>
      <c r="I8" s="34"/>
    </row>
    <row r="9" spans="4:9" ht="15.75">
      <c r="D9" s="42" t="s">
        <v>238</v>
      </c>
      <c r="E9" s="44">
        <v>-4</v>
      </c>
      <c r="G9" s="6">
        <f>IF(I9=TRUE,E9,"")</f>
      </c>
      <c r="I9" s="34" t="b">
        <v>0</v>
      </c>
    </row>
    <row r="10" spans="4:9" ht="15.75">
      <c r="D10" s="42" t="s">
        <v>239</v>
      </c>
      <c r="E10" s="44">
        <v>-2</v>
      </c>
      <c r="G10" s="58">
        <f>IF(I10=TRUE,E10,"")</f>
      </c>
      <c r="I10" s="34" t="b">
        <v>0</v>
      </c>
    </row>
    <row r="11" spans="3:7" ht="15.75">
      <c r="C11" s="16"/>
      <c r="D11" s="16"/>
      <c r="E11" s="16"/>
      <c r="G11" s="61">
        <f>SUM(G5:G10)</f>
        <v>0</v>
      </c>
    </row>
    <row r="12" spans="3:9" ht="15.75">
      <c r="C12" s="50" t="s">
        <v>252</v>
      </c>
      <c r="D12" s="16"/>
      <c r="E12" s="16"/>
      <c r="G12" s="16"/>
      <c r="I12" s="34"/>
    </row>
    <row r="13" spans="3:9" ht="15.75">
      <c r="C13" s="16"/>
      <c r="D13" s="42" t="s">
        <v>261</v>
      </c>
      <c r="E13" s="44">
        <v>-10</v>
      </c>
      <c r="G13" s="47">
        <f>IF(I13=TRUE,E13,"")</f>
      </c>
      <c r="I13" s="34" t="b">
        <v>0</v>
      </c>
    </row>
    <row r="14" spans="3:9" ht="15.75">
      <c r="C14" s="16"/>
      <c r="D14" s="42" t="s">
        <v>262</v>
      </c>
      <c r="E14" s="44">
        <v>-6</v>
      </c>
      <c r="G14" s="47">
        <f>IF(I14=TRUE,E14,"")</f>
      </c>
      <c r="I14" s="34" t="b">
        <v>0</v>
      </c>
    </row>
    <row r="15" spans="3:9" ht="15.75">
      <c r="C15" s="16"/>
      <c r="D15" s="42" t="s">
        <v>258</v>
      </c>
      <c r="E15" s="44">
        <v>-6</v>
      </c>
      <c r="G15" s="47">
        <f>IF(I15=TRUE,E15,"")</f>
      </c>
      <c r="I15" s="34" t="b">
        <v>0</v>
      </c>
    </row>
    <row r="16" spans="3:9" ht="15.75">
      <c r="C16" s="16"/>
      <c r="D16" s="42" t="s">
        <v>259</v>
      </c>
      <c r="E16" s="44">
        <v>-4</v>
      </c>
      <c r="G16" s="47">
        <f>IF(I16=TRUE,E16,"")</f>
      </c>
      <c r="I16" s="34" t="b">
        <v>0</v>
      </c>
    </row>
    <row r="17" spans="3:9" ht="15.75">
      <c r="C17" s="16"/>
      <c r="D17" s="42" t="s">
        <v>153</v>
      </c>
      <c r="E17" s="44" t="s">
        <v>56</v>
      </c>
      <c r="G17" s="47">
        <f>IF(I17=TRUE,E17,"")</f>
      </c>
      <c r="I17" s="34" t="b">
        <v>0</v>
      </c>
    </row>
    <row r="18" spans="3:9" ht="15.75">
      <c r="C18" s="16"/>
      <c r="D18" s="16"/>
      <c r="E18" s="16"/>
      <c r="G18" s="34">
        <f>SUM(G13:G17)</f>
        <v>0</v>
      </c>
      <c r="I18" s="34">
        <f>IF(G18&lt;-10,-10,G18)</f>
        <v>0</v>
      </c>
    </row>
    <row r="19" spans="3:7" ht="15.75">
      <c r="C19" s="16"/>
      <c r="D19" s="16"/>
      <c r="E19" s="59" t="s">
        <v>257</v>
      </c>
      <c r="G19" s="34">
        <f>G11+I18</f>
        <v>0</v>
      </c>
    </row>
    <row r="20" spans="3:5" ht="15.75">
      <c r="C20" s="16"/>
      <c r="D20" s="16"/>
      <c r="E20" s="16"/>
    </row>
    <row r="21" spans="3:5" ht="15.75">
      <c r="C21" s="16"/>
      <c r="D21" s="16"/>
      <c r="E21" s="16"/>
    </row>
    <row r="22" spans="3:5" ht="15.75">
      <c r="C22" s="16"/>
      <c r="D22" s="16"/>
      <c r="E22" s="16"/>
    </row>
    <row r="23" spans="3:5" ht="15.75">
      <c r="C23" s="16"/>
      <c r="D23" s="16"/>
      <c r="E23" s="16"/>
    </row>
    <row r="24" spans="3:5" ht="15.75">
      <c r="C24" s="16"/>
      <c r="D24" s="16"/>
      <c r="E24" s="16"/>
    </row>
    <row r="25" spans="3:5" ht="15.75">
      <c r="C25" s="16"/>
      <c r="D25" s="16"/>
      <c r="E25" s="16"/>
    </row>
    <row r="26" spans="3:5" ht="15.75">
      <c r="C26" s="16"/>
      <c r="D26" s="16"/>
      <c r="E26" s="16"/>
    </row>
    <row r="27" spans="3:5" ht="15.75">
      <c r="C27" s="16"/>
      <c r="D27" s="16"/>
      <c r="E27" s="16"/>
    </row>
    <row r="28" spans="3:5" ht="15.75">
      <c r="C28" s="16"/>
      <c r="D28" s="16"/>
      <c r="E28" s="16"/>
    </row>
    <row r="29" spans="3:5" ht="15.75">
      <c r="C29" s="16"/>
      <c r="D29" s="16"/>
      <c r="E29" s="16"/>
    </row>
    <row r="30" spans="3:5" ht="15.75">
      <c r="C30" s="16"/>
      <c r="D30" s="16"/>
      <c r="E30" s="16"/>
    </row>
    <row r="31" spans="3:5" ht="15.75">
      <c r="C31" s="16"/>
      <c r="D31" s="16"/>
      <c r="E31" s="16"/>
    </row>
    <row r="32" spans="3:5" ht="15.75">
      <c r="C32" s="16"/>
      <c r="D32" s="16"/>
      <c r="E32" s="16"/>
    </row>
    <row r="33" spans="3:5" ht="15.75">
      <c r="C33" s="16"/>
      <c r="D33" s="16"/>
      <c r="E33" s="16"/>
    </row>
    <row r="34" spans="3:5" ht="15.75">
      <c r="C34" s="16"/>
      <c r="D34" s="16"/>
      <c r="E34" s="16"/>
    </row>
    <row r="35" spans="3:5" ht="15.75">
      <c r="C35" s="16"/>
      <c r="D35" s="16"/>
      <c r="E35" s="16"/>
    </row>
    <row r="36" spans="3:5" ht="15.75">
      <c r="C36" s="16"/>
      <c r="D36" s="16"/>
      <c r="E36" s="16"/>
    </row>
    <row r="37" spans="3:5" ht="15.75">
      <c r="C37" s="16"/>
      <c r="D37" s="16"/>
      <c r="E37" s="16"/>
    </row>
    <row r="38" spans="3:5" ht="15.75">
      <c r="C38" s="16"/>
      <c r="D38" s="16"/>
      <c r="E38" s="16"/>
    </row>
  </sheetData>
  <mergeCells count="1">
    <mergeCell ref="C2:E2"/>
  </mergeCells>
  <dataValidations count="2">
    <dataValidation allowBlank="1" showErrorMessage="1" promptTitle="Unmodified Weapon Skill" prompt="Select your Unmodified Weapon Skill from the range 0 to 35." sqref="G5:G10"/>
    <dataValidation type="list" allowBlank="1" showInputMessage="1" showErrorMessage="1" sqref="E17">
      <formula1>"choose,-1,-2,-3,-4,-5,-6,-7,-8,-9"</formula1>
    </dataValidation>
  </dataValidations>
  <hyperlinks>
    <hyperlink ref="G2" location="'18'!A1" display="[18]"/>
  </hyperlinks>
  <printOptions/>
  <pageMargins left="0.75" right="0.75" top="1" bottom="1" header="0.5" footer="0.5"/>
  <pageSetup horizontalDpi="300" verticalDpi="300" orientation="portrait" r:id="rId3"/>
  <legacyDrawing r:id="rId2"/>
</worksheet>
</file>

<file path=xl/worksheets/sheet19.xml><?xml version="1.0" encoding="utf-8"?>
<worksheet xmlns="http://schemas.openxmlformats.org/spreadsheetml/2006/main" xmlns:r="http://schemas.openxmlformats.org/officeDocument/2006/relationships">
  <sheetPr codeName="Sheet21"/>
  <dimension ref="A1:K51"/>
  <sheetViews>
    <sheetView workbookViewId="0" topLeftCell="A1">
      <selection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7" customWidth="1"/>
    <col min="8" max="8" width="0.8984375" style="7" customWidth="1"/>
    <col min="9" max="9" width="15.5" style="7" customWidth="1"/>
    <col min="10" max="11" width="7.69921875" style="7" customWidth="1"/>
  </cols>
  <sheetData>
    <row r="1" spans="9:11" ht="16.5" thickBot="1">
      <c r="I1" s="4" t="s">
        <v>72</v>
      </c>
      <c r="J1" s="19">
        <f>IF(AND(J2&gt;9,'17'!J3="Max9"),9,J2)</f>
        <v>0</v>
      </c>
      <c r="K1" s="2" t="str">
        <f>6!I1</f>
        <v>Torso</v>
      </c>
    </row>
    <row r="2" spans="1:10" ht="32.25" customHeight="1">
      <c r="A2" s="9" t="s">
        <v>255</v>
      </c>
      <c r="B2" s="9"/>
      <c r="C2" s="132" t="s">
        <v>307</v>
      </c>
      <c r="D2" s="147"/>
      <c r="E2" s="148"/>
      <c r="F2" s="35"/>
      <c r="G2" s="62" t="s">
        <v>263</v>
      </c>
      <c r="I2" s="22"/>
      <c r="J2" s="53">
        <f>'17'!J1+G25</f>
        <v>0</v>
      </c>
    </row>
    <row r="3" spans="1:10" ht="15.75" customHeight="1">
      <c r="A3" s="9"/>
      <c r="B3" s="9"/>
      <c r="C3" s="63"/>
      <c r="D3" s="63"/>
      <c r="E3" s="63"/>
      <c r="F3" s="65"/>
      <c r="G3" s="64"/>
      <c r="I3" s="22"/>
      <c r="J3" s="22"/>
    </row>
    <row r="4" spans="3:9" ht="15.75">
      <c r="C4" s="46" t="s">
        <v>89</v>
      </c>
      <c r="D4" s="45"/>
      <c r="E4" s="44"/>
      <c r="I4" s="34"/>
    </row>
    <row r="5" spans="3:9" ht="15.75">
      <c r="C5" s="45" t="s">
        <v>90</v>
      </c>
      <c r="D5" s="42" t="s">
        <v>91</v>
      </c>
      <c r="E5" s="44">
        <v>-3</v>
      </c>
      <c r="G5" s="6">
        <f aca="true" t="shared" si="0" ref="G5:G13">IF(I5=TRUE,E5,"")</f>
      </c>
      <c r="I5" s="34" t="b">
        <v>0</v>
      </c>
    </row>
    <row r="6" spans="4:9" ht="15.75">
      <c r="D6" s="42" t="s">
        <v>92</v>
      </c>
      <c r="E6" s="44">
        <v>-2</v>
      </c>
      <c r="G6" s="6">
        <f t="shared" si="0"/>
      </c>
      <c r="I6" s="34" t="b">
        <v>0</v>
      </c>
    </row>
    <row r="7" spans="4:9" ht="15.75">
      <c r="D7" s="42" t="s">
        <v>93</v>
      </c>
      <c r="E7" s="44">
        <v>-2</v>
      </c>
      <c r="G7" s="6">
        <f t="shared" si="0"/>
      </c>
      <c r="I7" s="34" t="b">
        <v>0</v>
      </c>
    </row>
    <row r="8" spans="4:9" ht="15.75">
      <c r="D8" s="42" t="s">
        <v>94</v>
      </c>
      <c r="E8" s="44">
        <v>-3</v>
      </c>
      <c r="G8" s="6">
        <f t="shared" si="0"/>
      </c>
      <c r="I8" s="34" t="b">
        <v>0</v>
      </c>
    </row>
    <row r="9" spans="4:9" ht="15.75">
      <c r="D9" s="42" t="s">
        <v>95</v>
      </c>
      <c r="E9" s="44">
        <v>-2</v>
      </c>
      <c r="G9" s="6">
        <f t="shared" si="0"/>
      </c>
      <c r="I9" s="34" t="b">
        <v>0</v>
      </c>
    </row>
    <row r="10" spans="4:9" ht="15.75">
      <c r="D10" s="42" t="s">
        <v>96</v>
      </c>
      <c r="E10" s="44" t="s">
        <v>56</v>
      </c>
      <c r="G10" s="6">
        <f t="shared" si="0"/>
      </c>
      <c r="I10" s="34" t="b">
        <v>0</v>
      </c>
    </row>
    <row r="11" spans="4:9" ht="15.75">
      <c r="D11" s="42" t="s">
        <v>97</v>
      </c>
      <c r="E11" s="44" t="s">
        <v>56</v>
      </c>
      <c r="G11" s="6">
        <f t="shared" si="0"/>
      </c>
      <c r="I11" s="34" t="b">
        <v>0</v>
      </c>
    </row>
    <row r="12" spans="4:9" ht="15.75">
      <c r="D12" s="42" t="s">
        <v>98</v>
      </c>
      <c r="E12" s="44" t="s">
        <v>56</v>
      </c>
      <c r="G12" s="6">
        <f t="shared" si="0"/>
      </c>
      <c r="I12" s="34" t="b">
        <v>0</v>
      </c>
    </row>
    <row r="13" spans="4:9" ht="15.75">
      <c r="D13" s="42" t="s">
        <v>99</v>
      </c>
      <c r="E13" s="44">
        <v>-1</v>
      </c>
      <c r="G13" s="6">
        <f t="shared" si="0"/>
      </c>
      <c r="I13" s="34" t="b">
        <v>0</v>
      </c>
    </row>
    <row r="14" spans="4:9" ht="15.75">
      <c r="D14" s="42"/>
      <c r="E14" s="44"/>
      <c r="I14" s="34"/>
    </row>
    <row r="15" spans="4:9" ht="15.75">
      <c r="D15" s="42" t="s">
        <v>100</v>
      </c>
      <c r="E15" s="44" t="s">
        <v>56</v>
      </c>
      <c r="G15" s="6">
        <f aca="true" t="shared" si="1" ref="G15:G24">IF(I15=TRUE,E15,"")</f>
      </c>
      <c r="I15" s="34" t="b">
        <v>0</v>
      </c>
    </row>
    <row r="16" spans="4:9" ht="15.75">
      <c r="D16" s="42" t="s">
        <v>240</v>
      </c>
      <c r="E16" s="44">
        <v>-4</v>
      </c>
      <c r="G16" s="6">
        <f t="shared" si="1"/>
      </c>
      <c r="I16" s="34" t="b">
        <v>0</v>
      </c>
    </row>
    <row r="17" spans="4:9" ht="15.75">
      <c r="D17" s="42" t="s">
        <v>241</v>
      </c>
      <c r="E17" s="44">
        <v>-2</v>
      </c>
      <c r="G17" s="6">
        <f t="shared" si="1"/>
      </c>
      <c r="I17" s="34" t="b">
        <v>0</v>
      </c>
    </row>
    <row r="18" spans="4:9" ht="15.75">
      <c r="D18" s="42" t="s">
        <v>103</v>
      </c>
      <c r="E18" s="44" t="s">
        <v>56</v>
      </c>
      <c r="G18" s="6">
        <f t="shared" si="1"/>
      </c>
      <c r="I18" s="34" t="b">
        <v>0</v>
      </c>
    </row>
    <row r="19" spans="4:9" ht="15.75">
      <c r="D19" s="42" t="s">
        <v>104</v>
      </c>
      <c r="E19" s="44">
        <v>-2</v>
      </c>
      <c r="G19" s="6">
        <f t="shared" si="1"/>
      </c>
      <c r="I19" s="34" t="b">
        <v>0</v>
      </c>
    </row>
    <row r="20" spans="4:9" ht="15.75">
      <c r="D20" s="42" t="s">
        <v>242</v>
      </c>
      <c r="E20" s="44">
        <v>-2</v>
      </c>
      <c r="G20" s="6">
        <f t="shared" si="1"/>
      </c>
      <c r="I20" s="34" t="b">
        <v>0</v>
      </c>
    </row>
    <row r="21" spans="4:9" ht="15.75">
      <c r="D21" s="42" t="s">
        <v>243</v>
      </c>
      <c r="E21" s="44">
        <v>-1</v>
      </c>
      <c r="G21" s="6">
        <f t="shared" si="1"/>
      </c>
      <c r="I21" s="34" t="b">
        <v>0</v>
      </c>
    </row>
    <row r="22" spans="4:9" ht="15.75">
      <c r="D22" s="42" t="s">
        <v>105</v>
      </c>
      <c r="E22" s="44" t="s">
        <v>56</v>
      </c>
      <c r="G22" s="6">
        <f t="shared" si="1"/>
      </c>
      <c r="I22" s="34" t="b">
        <v>0</v>
      </c>
    </row>
    <row r="23" spans="4:9" ht="15.75">
      <c r="D23" s="42" t="s">
        <v>106</v>
      </c>
      <c r="E23" s="44" t="s">
        <v>56</v>
      </c>
      <c r="G23" s="6">
        <f t="shared" si="1"/>
      </c>
      <c r="I23" s="34" t="b">
        <v>0</v>
      </c>
    </row>
    <row r="24" spans="3:9" ht="15.75">
      <c r="C24" s="16"/>
      <c r="D24" s="10" t="s">
        <v>254</v>
      </c>
      <c r="E24" s="16" t="s">
        <v>56</v>
      </c>
      <c r="G24" s="6">
        <f t="shared" si="1"/>
      </c>
      <c r="I24" s="34" t="b">
        <v>0</v>
      </c>
    </row>
    <row r="25" spans="3:7" ht="15.75">
      <c r="C25" s="16"/>
      <c r="D25" s="16"/>
      <c r="E25" s="16"/>
      <c r="G25" s="34">
        <f>SUM(G4:G24)</f>
        <v>0</v>
      </c>
    </row>
    <row r="26" spans="3:5" ht="15.75">
      <c r="C26" s="16"/>
      <c r="D26" s="16"/>
      <c r="E26" s="16"/>
    </row>
    <row r="27" spans="3:5" ht="15.75">
      <c r="C27" s="16"/>
      <c r="D27" s="16"/>
      <c r="E27" s="16"/>
    </row>
    <row r="28" spans="3:5" ht="15.75">
      <c r="C28" s="16"/>
      <c r="D28" s="16"/>
      <c r="E28" s="16"/>
    </row>
    <row r="29" spans="3:5" ht="15.75">
      <c r="C29" s="16"/>
      <c r="D29" s="16"/>
      <c r="E29" s="16"/>
    </row>
    <row r="30" spans="3:5" ht="15.75">
      <c r="C30" s="16"/>
      <c r="D30" s="16"/>
      <c r="E30" s="16"/>
    </row>
    <row r="31" spans="3:5" ht="15.75">
      <c r="C31" s="16"/>
      <c r="D31" s="16"/>
      <c r="E31" s="16"/>
    </row>
    <row r="32" spans="3:5" ht="15.75">
      <c r="C32" s="16"/>
      <c r="D32" s="16"/>
      <c r="E32" s="16"/>
    </row>
    <row r="33" spans="3:5" ht="15.75">
      <c r="C33" s="16"/>
      <c r="D33" s="16"/>
      <c r="E33" s="16"/>
    </row>
    <row r="34" spans="3:5" ht="15.75">
      <c r="C34" s="16"/>
      <c r="D34" s="16"/>
      <c r="E34" s="16"/>
    </row>
    <row r="35" spans="3:5" ht="15.75">
      <c r="C35" s="16"/>
      <c r="D35" s="16"/>
      <c r="E35" s="16"/>
    </row>
    <row r="36" spans="3:5" ht="15.75">
      <c r="C36" s="16"/>
      <c r="D36" s="16"/>
      <c r="E36" s="16"/>
    </row>
    <row r="37" spans="3:5" ht="15.75">
      <c r="C37" s="16"/>
      <c r="D37" s="16"/>
      <c r="E37" s="16"/>
    </row>
    <row r="38" spans="3:5" ht="15.75">
      <c r="C38" s="16"/>
      <c r="D38" s="16"/>
      <c r="E38" s="16"/>
    </row>
    <row r="39" spans="3:5" ht="15.75">
      <c r="C39" s="16"/>
      <c r="D39" s="16"/>
      <c r="E39" s="16"/>
    </row>
    <row r="40" spans="3:5" ht="15.75">
      <c r="C40" s="16"/>
      <c r="D40" s="16"/>
      <c r="E40" s="16"/>
    </row>
    <row r="41" spans="3:5" ht="15.75">
      <c r="C41" s="16"/>
      <c r="D41" s="16"/>
      <c r="E41" s="16"/>
    </row>
    <row r="42" spans="3:5" ht="15.75">
      <c r="C42" s="16"/>
      <c r="D42" s="16"/>
      <c r="E42" s="16"/>
    </row>
    <row r="43" spans="3:5" ht="15.75">
      <c r="C43" s="16"/>
      <c r="D43" s="16"/>
      <c r="E43" s="16"/>
    </row>
    <row r="44" spans="3:5" ht="15.75">
      <c r="C44" s="16"/>
      <c r="D44" s="16"/>
      <c r="E44" s="16"/>
    </row>
    <row r="45" spans="3:5" ht="15.75">
      <c r="C45" s="16"/>
      <c r="D45" s="16"/>
      <c r="E45" s="16"/>
    </row>
    <row r="46" spans="3:5" ht="15.75">
      <c r="C46" s="16"/>
      <c r="D46" s="16"/>
      <c r="E46" s="16"/>
    </row>
    <row r="47" spans="3:5" ht="15.75">
      <c r="C47" s="16"/>
      <c r="D47" s="16"/>
      <c r="E47" s="16"/>
    </row>
    <row r="48" spans="3:5" ht="15.75">
      <c r="C48" s="16"/>
      <c r="D48" s="16"/>
      <c r="E48" s="16"/>
    </row>
    <row r="49" spans="3:5" ht="15.75">
      <c r="C49" s="16"/>
      <c r="D49" s="16"/>
      <c r="E49" s="16"/>
    </row>
    <row r="50" spans="3:5" ht="15.75">
      <c r="C50" s="16"/>
      <c r="D50" s="16"/>
      <c r="E50" s="16"/>
    </row>
    <row r="51" spans="3:5" ht="15.75">
      <c r="C51" s="16"/>
      <c r="D51" s="16"/>
      <c r="E51" s="16"/>
    </row>
  </sheetData>
  <mergeCells count="1">
    <mergeCell ref="C2:E2"/>
  </mergeCells>
  <dataValidations count="9">
    <dataValidation allowBlank="1" showErrorMessage="1" promptTitle="Unmodified Weapon Skill" prompt="Select your Unmodified Weapon Skill from the range 0 to 35." sqref="G5:G13 G15:G24"/>
    <dataValidation type="list" allowBlank="1" showInputMessage="1" showErrorMessage="1" sqref="E15">
      <formula1>"choose,-2,-3,-4"</formula1>
    </dataValidation>
    <dataValidation type="list" allowBlank="1" showInputMessage="1" showErrorMessage="1" sqref="E18">
      <formula1>"choose,-3,-4,-5,-6,-7,-8"</formula1>
    </dataValidation>
    <dataValidation type="list" allowBlank="1" showInputMessage="1" showErrorMessage="1" sqref="E22">
      <formula1>"choose,-1,-2,-3,-4"</formula1>
    </dataValidation>
    <dataValidation type="list" allowBlank="1" showInputMessage="1" showErrorMessage="1" sqref="E23">
      <formula1>"choose,-1,-2,-3,-4,-5,-6,-7,-8,-9,-10"</formula1>
    </dataValidation>
    <dataValidation type="list" allowBlank="1" showInputMessage="1" showErrorMessage="1" sqref="E10">
      <formula1>"choose,-1,-2,-4"</formula1>
    </dataValidation>
    <dataValidation type="list" allowBlank="1" showInputMessage="1" showErrorMessage="1" sqref="E11">
      <formula1>"choose,-2,-4,-8"</formula1>
    </dataValidation>
    <dataValidation type="list" allowBlank="1" showInputMessage="1" showErrorMessage="1" sqref="E12">
      <formula1>"choose,-3,-6,-12"</formula1>
    </dataValidation>
    <dataValidation type="list" allowBlank="1" showInputMessage="1" showErrorMessage="1" sqref="E24">
      <formula1>"choose,-1,-2,-3"</formula1>
    </dataValidation>
  </dataValidations>
  <hyperlinks>
    <hyperlink ref="G2" location="'19'!A1" display="[19]"/>
  </hyperlinks>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I25"/>
  <sheetViews>
    <sheetView workbookViewId="0" topLeftCell="A1">
      <selection activeCell="A1" sqref="A1"/>
    </sheetView>
  </sheetViews>
  <sheetFormatPr defaultColWidth="8.796875" defaultRowHeight="15"/>
  <cols>
    <col min="1" max="1" width="5.19921875" style="0" customWidth="1"/>
    <col min="2" max="2" width="0.8984375" style="0" customWidth="1"/>
    <col min="3" max="3" width="45.69921875" style="0" customWidth="1"/>
    <col min="4" max="4" width="0.8984375" style="0" customWidth="1"/>
    <col min="5" max="5" width="7.69921875" style="0" customWidth="1"/>
    <col min="6" max="6" width="0.8984375" style="0" customWidth="1"/>
    <col min="7" max="7" width="15.5" style="20" customWidth="1"/>
    <col min="8" max="9" width="7.69921875" style="0" customWidth="1"/>
  </cols>
  <sheetData>
    <row r="1" spans="1:9" ht="16.5" thickBot="1">
      <c r="A1" s="7"/>
      <c r="B1" s="7"/>
      <c r="C1" s="7"/>
      <c r="D1" s="7"/>
      <c r="E1" s="7"/>
      <c r="F1" s="7"/>
      <c r="G1" s="4" t="s">
        <v>72</v>
      </c>
      <c r="H1" s="19">
        <f>IF(E4="choose",0,E4)</f>
        <v>0</v>
      </c>
      <c r="I1" s="2" t="str">
        <f>IF(5!G4&lt;&gt;0,5!K1,3!K1)</f>
        <v>Torso</v>
      </c>
    </row>
    <row r="2" spans="1:9" ht="15.75">
      <c r="A2" s="9" t="s">
        <v>43</v>
      </c>
      <c r="B2" s="7"/>
      <c r="C2" s="5" t="s">
        <v>287</v>
      </c>
      <c r="D2" s="7"/>
      <c r="E2" s="33" t="s">
        <v>44</v>
      </c>
      <c r="F2" s="7"/>
      <c r="G2" s="2"/>
      <c r="H2" s="22"/>
      <c r="I2" s="7"/>
    </row>
    <row r="3" spans="1:9" ht="15.75">
      <c r="A3" s="9"/>
      <c r="B3" s="7"/>
      <c r="C3" s="1"/>
      <c r="D3" s="7"/>
      <c r="E3" s="8"/>
      <c r="F3" s="7"/>
      <c r="G3" s="2"/>
      <c r="H3" s="7"/>
      <c r="I3" s="7"/>
    </row>
    <row r="4" spans="1:9" ht="15.75">
      <c r="A4" s="9"/>
      <c r="B4" s="7"/>
      <c r="C4" s="4" t="s">
        <v>46</v>
      </c>
      <c r="D4" s="7"/>
      <c r="E4" s="126" t="s">
        <v>56</v>
      </c>
      <c r="F4" s="7"/>
      <c r="G4" s="7"/>
      <c r="H4" s="7"/>
      <c r="I4" s="7"/>
    </row>
    <row r="5" spans="1:9" ht="15.75">
      <c r="A5" s="7"/>
      <c r="B5" s="7"/>
      <c r="C5" s="7"/>
      <c r="D5" s="7"/>
      <c r="E5" s="7"/>
      <c r="F5" s="7"/>
      <c r="G5" s="7"/>
      <c r="H5" s="7"/>
      <c r="I5" s="7"/>
    </row>
    <row r="6" spans="1:9" ht="15.75">
      <c r="A6" s="7"/>
      <c r="B6" s="7"/>
      <c r="C6" s="118" t="s">
        <v>3</v>
      </c>
      <c r="D6" s="7"/>
      <c r="E6" s="7"/>
      <c r="F6" s="7"/>
      <c r="G6" s="7"/>
      <c r="H6" s="7"/>
      <c r="I6" s="7"/>
    </row>
    <row r="7" spans="1:9" ht="31.5" customHeight="1">
      <c r="A7" s="7"/>
      <c r="B7" s="7"/>
      <c r="C7" s="119" t="s">
        <v>4</v>
      </c>
      <c r="D7" s="7"/>
      <c r="E7" s="7"/>
      <c r="F7" s="7"/>
      <c r="G7" s="7"/>
      <c r="H7" s="7"/>
      <c r="I7" s="7"/>
    </row>
    <row r="8" spans="1:9" ht="15.75">
      <c r="A8" s="7"/>
      <c r="B8" s="7"/>
      <c r="C8" s="7"/>
      <c r="D8" s="7"/>
      <c r="E8" s="7"/>
      <c r="F8" s="7"/>
      <c r="G8" s="7"/>
      <c r="H8" s="7"/>
      <c r="I8" s="7"/>
    </row>
    <row r="9" spans="1:9" ht="15.75">
      <c r="A9" s="7"/>
      <c r="B9" s="7"/>
      <c r="C9" s="7"/>
      <c r="D9" s="7"/>
      <c r="E9" s="7"/>
      <c r="F9" s="7"/>
      <c r="G9" s="7"/>
      <c r="H9" s="7"/>
      <c r="I9" s="7"/>
    </row>
    <row r="10" spans="1:9" ht="15.75">
      <c r="A10" s="7"/>
      <c r="B10" s="7"/>
      <c r="C10" s="7"/>
      <c r="D10" s="7"/>
      <c r="E10" s="7"/>
      <c r="F10" s="7"/>
      <c r="G10" s="7"/>
      <c r="H10" s="7"/>
      <c r="I10" s="7"/>
    </row>
    <row r="11" spans="1:9" ht="15.75">
      <c r="A11" s="7"/>
      <c r="B11" s="7"/>
      <c r="C11" s="7"/>
      <c r="D11" s="7"/>
      <c r="E11" s="7"/>
      <c r="F11" s="7"/>
      <c r="G11" s="7"/>
      <c r="H11" s="7"/>
      <c r="I11" s="7"/>
    </row>
    <row r="12" spans="1:9" ht="15.75">
      <c r="A12" s="7"/>
      <c r="B12" s="7"/>
      <c r="C12" s="7"/>
      <c r="D12" s="7"/>
      <c r="E12" s="7"/>
      <c r="F12" s="7"/>
      <c r="G12" s="7"/>
      <c r="H12" s="7"/>
      <c r="I12" s="7"/>
    </row>
    <row r="13" spans="1:9" ht="15.75">
      <c r="A13" s="7"/>
      <c r="B13" s="7"/>
      <c r="C13" s="7"/>
      <c r="D13" s="7"/>
      <c r="E13" s="7"/>
      <c r="F13" s="7"/>
      <c r="G13" s="7"/>
      <c r="H13" s="7"/>
      <c r="I13" s="7"/>
    </row>
    <row r="14" spans="1:9" ht="15.75">
      <c r="A14" s="7"/>
      <c r="B14" s="7"/>
      <c r="C14" s="7"/>
      <c r="D14" s="7"/>
      <c r="E14" s="7"/>
      <c r="F14" s="7"/>
      <c r="G14" s="7"/>
      <c r="H14" s="7"/>
      <c r="I14" s="7"/>
    </row>
    <row r="15" spans="1:9" ht="15.75">
      <c r="A15" s="7"/>
      <c r="B15" s="7"/>
      <c r="C15" s="7"/>
      <c r="D15" s="7"/>
      <c r="E15" s="7"/>
      <c r="F15" s="7"/>
      <c r="G15" s="7"/>
      <c r="H15" s="7"/>
      <c r="I15" s="7"/>
    </row>
    <row r="16" spans="1:9" ht="15.75">
      <c r="A16" s="7"/>
      <c r="B16" s="7"/>
      <c r="C16" s="7"/>
      <c r="D16" s="7"/>
      <c r="E16" s="7"/>
      <c r="F16" s="7"/>
      <c r="G16" s="7"/>
      <c r="H16" s="7"/>
      <c r="I16" s="7"/>
    </row>
    <row r="17" spans="1:9" ht="15.75">
      <c r="A17" s="7"/>
      <c r="B17" s="7"/>
      <c r="C17" s="7"/>
      <c r="D17" s="7"/>
      <c r="E17" s="7"/>
      <c r="F17" s="7"/>
      <c r="G17" s="7"/>
      <c r="H17" s="7"/>
      <c r="I17" s="7"/>
    </row>
    <row r="18" spans="1:9" ht="15.75">
      <c r="A18" s="7"/>
      <c r="B18" s="7"/>
      <c r="C18" s="7"/>
      <c r="D18" s="7"/>
      <c r="E18" s="7"/>
      <c r="F18" s="7"/>
      <c r="G18" s="7"/>
      <c r="H18" s="7"/>
      <c r="I18" s="7"/>
    </row>
    <row r="19" spans="1:9" ht="15.75">
      <c r="A19" s="7"/>
      <c r="B19" s="7"/>
      <c r="C19" s="7"/>
      <c r="D19" s="7"/>
      <c r="E19" s="7"/>
      <c r="F19" s="7"/>
      <c r="G19" s="7"/>
      <c r="H19" s="7"/>
      <c r="I19" s="7"/>
    </row>
    <row r="20" spans="1:9" ht="15.75">
      <c r="A20" s="7"/>
      <c r="B20" s="7"/>
      <c r="C20" s="7"/>
      <c r="D20" s="7"/>
      <c r="E20" s="7"/>
      <c r="F20" s="7"/>
      <c r="G20" s="7"/>
      <c r="H20" s="7"/>
      <c r="I20" s="7"/>
    </row>
    <row r="21" spans="1:9" ht="15.75">
      <c r="A21" s="7"/>
      <c r="B21" s="7"/>
      <c r="C21" s="7"/>
      <c r="D21" s="7"/>
      <c r="E21" s="7"/>
      <c r="F21" s="7"/>
      <c r="G21" s="7"/>
      <c r="H21" s="7"/>
      <c r="I21" s="7"/>
    </row>
    <row r="22" spans="1:9" ht="15.75">
      <c r="A22" s="7"/>
      <c r="B22" s="7"/>
      <c r="C22" s="7"/>
      <c r="D22" s="7"/>
      <c r="E22" s="7"/>
      <c r="F22" s="7"/>
      <c r="G22" s="7"/>
      <c r="H22" s="7"/>
      <c r="I22" s="7"/>
    </row>
    <row r="23" spans="1:9" ht="15.75">
      <c r="A23" s="7"/>
      <c r="B23" s="7"/>
      <c r="C23" s="7"/>
      <c r="D23" s="7"/>
      <c r="E23" s="7"/>
      <c r="F23" s="7"/>
      <c r="G23" s="7"/>
      <c r="H23" s="7"/>
      <c r="I23" s="7"/>
    </row>
    <row r="24" spans="1:9" ht="15.75">
      <c r="A24" s="7"/>
      <c r="B24" s="7"/>
      <c r="C24" s="7"/>
      <c r="D24" s="7"/>
      <c r="E24" s="7"/>
      <c r="F24" s="7"/>
      <c r="G24" s="7"/>
      <c r="H24" s="7"/>
      <c r="I24" s="7"/>
    </row>
    <row r="25" spans="1:9" ht="15.75">
      <c r="A25" s="7"/>
      <c r="B25" s="7"/>
      <c r="C25" s="7"/>
      <c r="D25" s="7"/>
      <c r="E25" s="7"/>
      <c r="F25" s="7"/>
      <c r="G25" s="7"/>
      <c r="H25" s="7"/>
      <c r="I25" s="7"/>
    </row>
  </sheetData>
  <dataValidations count="1">
    <dataValidation type="list" allowBlank="1" showErrorMessage="1" promptTitle="Unmodified Weapon Skill" prompt="Select your Unmodified Weapon Skill from the range 0 to 35." sqref="E4">
      <formula1>"choose,0,1,2,3,4,5,6,7,8,9,10,11,12,13,14,15,16,17,18,19,20,21,22,23,24,25,26,27,28,29,30,31,32,33,34,35"</formula1>
    </dataValidation>
  </dataValidations>
  <hyperlinks>
    <hyperlink ref="E2" location="'2'!A1" display="[2]"/>
  </hyperlinks>
  <printOptions/>
  <pageMargins left="0.75" right="0.75" top="1" bottom="1" header="0.5" footer="0.5"/>
  <pageSetup horizontalDpi="300" verticalDpi="300" orientation="portrait" r:id="rId2"/>
  <legacyDrawing r:id="rId1"/>
</worksheet>
</file>

<file path=xl/worksheets/sheet20.xml><?xml version="1.0" encoding="utf-8"?>
<worksheet xmlns="http://schemas.openxmlformats.org/spreadsheetml/2006/main" xmlns:r="http://schemas.openxmlformats.org/officeDocument/2006/relationships">
  <sheetPr codeName="Sheet27"/>
  <dimension ref="A1:K49"/>
  <sheetViews>
    <sheetView workbookViewId="0" topLeftCell="A1">
      <selection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9:11" ht="16.5" thickBot="1">
      <c r="I1" s="4" t="s">
        <v>72</v>
      </c>
      <c r="J1" s="19">
        <f>IF(AND(J2&gt;9,J3="Max9"),9,J2)</f>
        <v>0</v>
      </c>
      <c r="K1" s="2" t="str">
        <f>6!I1</f>
        <v>Torso</v>
      </c>
    </row>
    <row r="2" spans="1:10" ht="31.5" customHeight="1">
      <c r="A2" s="9" t="s">
        <v>263</v>
      </c>
      <c r="B2" s="9"/>
      <c r="C2" s="129" t="s">
        <v>308</v>
      </c>
      <c r="D2" s="140"/>
      <c r="E2" s="141"/>
      <c r="F2" s="35"/>
      <c r="G2" s="33" t="s">
        <v>266</v>
      </c>
      <c r="I2" s="22"/>
      <c r="J2" s="53">
        <f>'18'!J1+G15</f>
        <v>0</v>
      </c>
    </row>
    <row r="3" spans="1:10" ht="15.75">
      <c r="A3" s="9"/>
      <c r="B3" s="9"/>
      <c r="C3" s="9"/>
      <c r="E3" s="1"/>
      <c r="G3" s="8"/>
      <c r="I3" s="2"/>
      <c r="J3" s="34" t="str">
        <f>IF(I14=TRUE,"Max9","NoMax")</f>
        <v>NoMax</v>
      </c>
    </row>
    <row r="4" spans="3:7" ht="15.75">
      <c r="C4" s="46" t="s">
        <v>131</v>
      </c>
      <c r="G4" s="41" t="b">
        <v>0</v>
      </c>
    </row>
    <row r="5" spans="3:9" ht="15.75">
      <c r="C5" s="41">
        <f>IF(G5=-2,-1,IF(G5=-4,-2,IF(G5=-6,-3,IF(G5=-8,-4,IF(G5=-10,-5,IF(G5=-12,-6,IF(G5=-14,-7,IF(G5=-16,-8,""))))))))</f>
      </c>
      <c r="D5" s="10" t="s">
        <v>244</v>
      </c>
      <c r="E5" s="44" t="s">
        <v>56</v>
      </c>
      <c r="G5" s="47">
        <f>IF(G4=TRUE,E5,"")</f>
      </c>
      <c r="I5" s="66">
        <f>IF(AND(G4=TRUE,J1&lt;10),"May NOT reduce your Effective Skill below 10","")</f>
      </c>
    </row>
    <row r="6" spans="3:9" ht="15.75">
      <c r="C6" s="16"/>
      <c r="D6" s="10" t="s">
        <v>134</v>
      </c>
      <c r="E6" s="44">
        <v>-4</v>
      </c>
      <c r="G6" s="47">
        <f aca="true" t="shared" si="0" ref="G6:G14">IF(I6=TRUE,E6,"")</f>
      </c>
      <c r="I6" s="34" t="b">
        <v>0</v>
      </c>
    </row>
    <row r="7" spans="3:9" ht="15.75">
      <c r="C7" s="16"/>
      <c r="D7" s="10" t="s">
        <v>267</v>
      </c>
      <c r="E7" s="44">
        <v>1</v>
      </c>
      <c r="G7" s="47">
        <f t="shared" si="0"/>
      </c>
      <c r="I7" s="34" t="b">
        <v>0</v>
      </c>
    </row>
    <row r="8" spans="3:9" ht="15.75">
      <c r="C8" s="16"/>
      <c r="D8" s="10" t="s">
        <v>269</v>
      </c>
      <c r="E8" s="44">
        <v>2</v>
      </c>
      <c r="G8" s="47">
        <f t="shared" si="0"/>
      </c>
      <c r="I8" s="34" t="b">
        <v>0</v>
      </c>
    </row>
    <row r="9" spans="3:9" ht="15.75">
      <c r="C9" s="16"/>
      <c r="D9" s="10" t="s">
        <v>270</v>
      </c>
      <c r="E9" s="44">
        <v>3</v>
      </c>
      <c r="G9" s="47">
        <f t="shared" si="0"/>
      </c>
      <c r="I9" s="34" t="b">
        <v>0</v>
      </c>
    </row>
    <row r="10" spans="3:9" ht="15.75">
      <c r="C10" s="16"/>
      <c r="D10" s="10" t="s">
        <v>268</v>
      </c>
      <c r="E10" s="44">
        <v>-4</v>
      </c>
      <c r="G10" s="47">
        <f t="shared" si="0"/>
      </c>
      <c r="I10" s="34" t="b">
        <v>0</v>
      </c>
    </row>
    <row r="11" spans="3:9" ht="15.75">
      <c r="C11" s="16"/>
      <c r="D11" s="10" t="s">
        <v>245</v>
      </c>
      <c r="E11" s="44">
        <v>-6</v>
      </c>
      <c r="G11" s="47">
        <f t="shared" si="0"/>
      </c>
      <c r="I11" s="34" t="b">
        <v>0</v>
      </c>
    </row>
    <row r="12" spans="3:9" ht="15.75">
      <c r="C12" s="16"/>
      <c r="D12" s="10" t="s">
        <v>264</v>
      </c>
      <c r="E12" s="44">
        <v>-3</v>
      </c>
      <c r="G12" s="47">
        <f t="shared" si="0"/>
      </c>
      <c r="I12" s="34" t="b">
        <v>0</v>
      </c>
    </row>
    <row r="13" spans="3:9" ht="15.75">
      <c r="C13" s="16"/>
      <c r="D13" s="10" t="s">
        <v>246</v>
      </c>
      <c r="E13" s="44">
        <v>-2</v>
      </c>
      <c r="G13" s="47">
        <f t="shared" si="0"/>
      </c>
      <c r="I13" s="34" t="b">
        <v>0</v>
      </c>
    </row>
    <row r="14" spans="3:9" ht="15.75">
      <c r="C14" s="16"/>
      <c r="D14" s="10" t="s">
        <v>265</v>
      </c>
      <c r="E14" s="16">
        <v>-5</v>
      </c>
      <c r="G14" s="47">
        <f t="shared" si="0"/>
      </c>
      <c r="I14" s="34" t="b">
        <v>0</v>
      </c>
    </row>
    <row r="15" spans="3:7" ht="15.75">
      <c r="C15" s="16"/>
      <c r="D15" s="16"/>
      <c r="E15" s="16"/>
      <c r="G15" s="41">
        <f>SUM(G5:G14)</f>
        <v>0</v>
      </c>
    </row>
    <row r="16" spans="3:5" ht="15.75">
      <c r="C16" s="16"/>
      <c r="D16" s="16"/>
      <c r="E16" s="59" t="s">
        <v>257</v>
      </c>
    </row>
    <row r="17" spans="3:5" ht="15.75">
      <c r="C17" s="16"/>
      <c r="D17" s="16"/>
      <c r="E17" s="16"/>
    </row>
    <row r="18" spans="3:5" ht="15.75">
      <c r="C18" s="16"/>
      <c r="D18" s="16"/>
      <c r="E18" s="16"/>
    </row>
    <row r="19" spans="3:5" ht="15.75">
      <c r="C19" s="16"/>
      <c r="D19" s="16"/>
      <c r="E19" s="16"/>
    </row>
    <row r="20" spans="3:5" ht="15.75">
      <c r="C20" s="16"/>
      <c r="D20" s="16"/>
      <c r="E20" s="16"/>
    </row>
    <row r="21" spans="3:5" ht="15.75">
      <c r="C21" s="16"/>
      <c r="D21" s="16"/>
      <c r="E21" s="16"/>
    </row>
    <row r="22" spans="3:5" ht="15.75">
      <c r="C22" s="16"/>
      <c r="D22" s="16"/>
      <c r="E22" s="16"/>
    </row>
    <row r="23" spans="3:5" ht="15.75">
      <c r="C23" s="16"/>
      <c r="D23" s="16"/>
      <c r="E23" s="16"/>
    </row>
    <row r="24" spans="3:5" ht="15.75">
      <c r="C24" s="16"/>
      <c r="D24" s="16"/>
      <c r="E24" s="16"/>
    </row>
    <row r="25" spans="3:5" ht="15.75">
      <c r="C25" s="16"/>
      <c r="D25" s="16"/>
      <c r="E25" s="16"/>
    </row>
    <row r="26" spans="3:5" ht="15.75">
      <c r="C26" s="16"/>
      <c r="D26" s="16"/>
      <c r="E26" s="16"/>
    </row>
    <row r="27" spans="3:5" ht="15.75">
      <c r="C27" s="16"/>
      <c r="D27" s="16"/>
      <c r="E27" s="16"/>
    </row>
    <row r="28" spans="3:5" ht="15.75">
      <c r="C28" s="16"/>
      <c r="D28" s="16"/>
      <c r="E28" s="16"/>
    </row>
    <row r="29" spans="3:5" ht="15.75">
      <c r="C29" s="16"/>
      <c r="D29" s="16"/>
      <c r="E29" s="16"/>
    </row>
    <row r="30" spans="3:5" ht="15.75">
      <c r="C30" s="16"/>
      <c r="D30" s="16"/>
      <c r="E30" s="16"/>
    </row>
    <row r="31" spans="3:5" ht="15.75">
      <c r="C31" s="16"/>
      <c r="D31" s="16"/>
      <c r="E31" s="16"/>
    </row>
    <row r="32" spans="3:5" ht="15.75">
      <c r="C32" s="16"/>
      <c r="D32" s="16"/>
      <c r="E32" s="16"/>
    </row>
    <row r="33" spans="3:5" ht="15.75">
      <c r="C33" s="16"/>
      <c r="D33" s="16"/>
      <c r="E33" s="16"/>
    </row>
    <row r="34" spans="3:5" ht="15.75">
      <c r="C34" s="16"/>
      <c r="D34" s="16"/>
      <c r="E34" s="16"/>
    </row>
    <row r="35" spans="3:5" ht="15.75">
      <c r="C35" s="16"/>
      <c r="D35" s="16"/>
      <c r="E35" s="16"/>
    </row>
    <row r="36" spans="3:5" ht="15.75">
      <c r="C36" s="16"/>
      <c r="D36" s="16"/>
      <c r="E36" s="16"/>
    </row>
    <row r="37" spans="3:5" ht="15.75">
      <c r="C37" s="16"/>
      <c r="D37" s="16"/>
      <c r="E37" s="16"/>
    </row>
    <row r="38" spans="3:5" ht="15.75">
      <c r="C38" s="16"/>
      <c r="D38" s="16"/>
      <c r="E38" s="16"/>
    </row>
    <row r="39" spans="3:5" ht="15.75">
      <c r="C39" s="16"/>
      <c r="D39" s="16"/>
      <c r="E39" s="16"/>
    </row>
    <row r="40" spans="3:5" ht="15.75">
      <c r="C40" s="16"/>
      <c r="D40" s="16"/>
      <c r="E40" s="16"/>
    </row>
    <row r="41" spans="3:5" ht="15.75">
      <c r="C41" s="16"/>
      <c r="D41" s="16"/>
      <c r="E41" s="16"/>
    </row>
    <row r="42" spans="3:5" ht="15.75">
      <c r="C42" s="16"/>
      <c r="D42" s="16"/>
      <c r="E42" s="16"/>
    </row>
    <row r="43" spans="3:5" ht="15.75">
      <c r="C43" s="16"/>
      <c r="D43" s="16"/>
      <c r="E43" s="16"/>
    </row>
    <row r="44" spans="3:5" ht="15.75">
      <c r="C44" s="16"/>
      <c r="D44" s="16"/>
      <c r="E44" s="16"/>
    </row>
    <row r="45" spans="3:5" ht="15.75">
      <c r="C45" s="16"/>
      <c r="D45" s="16"/>
      <c r="E45" s="16"/>
    </row>
    <row r="46" spans="3:5" ht="15.75">
      <c r="C46" s="16"/>
      <c r="D46" s="16"/>
      <c r="E46" s="16"/>
    </row>
    <row r="47" spans="3:5" ht="15.75">
      <c r="C47" s="16"/>
      <c r="D47" s="16"/>
      <c r="E47" s="16"/>
    </row>
    <row r="48" spans="3:5" ht="15.75">
      <c r="C48" s="16"/>
      <c r="D48" s="16"/>
      <c r="E48" s="16"/>
    </row>
    <row r="49" spans="3:5" ht="15.75">
      <c r="C49" s="16"/>
      <c r="D49" s="16"/>
      <c r="E49" s="16"/>
    </row>
  </sheetData>
  <mergeCells count="1">
    <mergeCell ref="C2:E2"/>
  </mergeCells>
  <dataValidations count="1">
    <dataValidation type="list" allowBlank="1" showInputMessage="1" showErrorMessage="1" sqref="E5">
      <formula1>"choose,-2,-4,-6,-8,-10,-12,-14,-16,-18,-20"</formula1>
    </dataValidation>
  </dataValidations>
  <hyperlinks>
    <hyperlink ref="G2" location="'20'!A1" display="[20]"/>
  </hyperlinks>
  <printOptions/>
  <pageMargins left="0.75" right="0.75" top="1" bottom="1" header="0.5" footer="0.5"/>
  <pageSetup horizontalDpi="300" verticalDpi="300" orientation="portrait" r:id="rId3"/>
  <legacyDrawing r:id="rId2"/>
</worksheet>
</file>

<file path=xl/worksheets/sheet21.xml><?xml version="1.0" encoding="utf-8"?>
<worksheet xmlns="http://schemas.openxmlformats.org/spreadsheetml/2006/main" xmlns:r="http://schemas.openxmlformats.org/officeDocument/2006/relationships">
  <sheetPr codeName="Sheet22"/>
  <dimension ref="A1:K48"/>
  <sheetViews>
    <sheetView workbookViewId="0" topLeftCell="A1">
      <selection activeCell="A1" sqref="A1"/>
    </sheetView>
  </sheetViews>
  <sheetFormatPr defaultColWidth="8.796875" defaultRowHeight="15"/>
  <cols>
    <col min="1" max="1" width="5.19921875" style="7" customWidth="1"/>
    <col min="2" max="2" width="0.8984375" style="7" customWidth="1"/>
    <col min="3" max="4" width="15.19921875" style="7" customWidth="1"/>
    <col min="5" max="5" width="15.19921875" style="10" customWidth="1"/>
    <col min="6" max="6" width="0.8984375" style="7" customWidth="1"/>
    <col min="7" max="7" width="7.69921875" style="16" customWidth="1"/>
    <col min="8" max="8" width="0.8984375" style="7" customWidth="1"/>
    <col min="9" max="9" width="15.5" style="16" customWidth="1"/>
    <col min="10" max="11" width="7.69921875" style="7" customWidth="1"/>
  </cols>
  <sheetData>
    <row r="1" spans="9:11" ht="16.5" thickBot="1">
      <c r="I1" s="2" t="s">
        <v>72</v>
      </c>
      <c r="J1" s="19">
        <f>'19'!J1</f>
        <v>0</v>
      </c>
      <c r="K1" s="2" t="str">
        <f>6!I1</f>
        <v>Torso</v>
      </c>
    </row>
    <row r="2" spans="1:10" ht="31.5" customHeight="1">
      <c r="A2" s="9" t="s">
        <v>266</v>
      </c>
      <c r="B2" s="9"/>
      <c r="C2" s="129" t="s">
        <v>353</v>
      </c>
      <c r="D2" s="140"/>
      <c r="E2" s="141"/>
      <c r="F2" s="35"/>
      <c r="G2" s="33" t="s">
        <v>273</v>
      </c>
      <c r="I2" s="22"/>
      <c r="J2" s="22"/>
    </row>
    <row r="3" spans="1:9" ht="15.75">
      <c r="A3" s="9"/>
      <c r="B3" s="9"/>
      <c r="C3" s="9"/>
      <c r="E3" s="3"/>
      <c r="G3" s="8"/>
      <c r="I3" s="2"/>
    </row>
    <row r="4" spans="5:9" ht="15.75">
      <c r="E4" s="10" t="s">
        <v>228</v>
      </c>
      <c r="G4" s="47" t="str">
        <f>1!E4</f>
        <v>choose</v>
      </c>
      <c r="I4" s="54" t="s">
        <v>43</v>
      </c>
    </row>
    <row r="5" spans="3:9" ht="15.75">
      <c r="C5" s="32"/>
      <c r="D5" s="32"/>
      <c r="E5" s="10" t="s">
        <v>231</v>
      </c>
      <c r="G5" s="47">
        <f>5!C11</f>
        <v>0</v>
      </c>
      <c r="I5" s="54" t="s">
        <v>74</v>
      </c>
    </row>
    <row r="6" spans="3:9" ht="15.75">
      <c r="C6" s="16"/>
      <c r="D6" s="16"/>
      <c r="E6" s="10" t="s">
        <v>271</v>
      </c>
      <c r="G6" s="47">
        <f>'16'!G6</f>
        <v>0</v>
      </c>
      <c r="I6" s="54" t="s">
        <v>237</v>
      </c>
    </row>
    <row r="7" spans="3:9" ht="15.75">
      <c r="C7" s="16"/>
      <c r="D7" s="16"/>
      <c r="E7" s="10" t="s">
        <v>272</v>
      </c>
      <c r="G7" s="47">
        <f>'17'!G19</f>
        <v>0</v>
      </c>
      <c r="I7" s="54" t="s">
        <v>253</v>
      </c>
    </row>
    <row r="8" spans="3:9" ht="15.75">
      <c r="C8" s="16"/>
      <c r="D8" s="16"/>
      <c r="E8" s="10" t="s">
        <v>89</v>
      </c>
      <c r="G8" s="47">
        <f>'18'!G25</f>
        <v>0</v>
      </c>
      <c r="I8" s="54" t="s">
        <v>255</v>
      </c>
    </row>
    <row r="9" spans="3:9" ht="15.75">
      <c r="C9" s="16"/>
      <c r="D9" s="16"/>
      <c r="E9" s="10" t="s">
        <v>220</v>
      </c>
      <c r="G9" s="47">
        <f>'19'!G15</f>
        <v>0</v>
      </c>
      <c r="I9" s="54" t="s">
        <v>263</v>
      </c>
    </row>
    <row r="10" spans="3:7" ht="15.75">
      <c r="C10" s="16"/>
      <c r="D10" s="16"/>
      <c r="G10" s="41">
        <f>SUM(G6:G9)</f>
        <v>0</v>
      </c>
    </row>
    <row r="11" spans="3:4" ht="15.75">
      <c r="C11" s="55">
        <f>IF('11'!J3="Max9","NOTE: Effective Skill cannot exceed 9 due to Visibility options from Step [11]","")</f>
      </c>
      <c r="D11" s="16"/>
    </row>
    <row r="12" spans="3:4" ht="15.75">
      <c r="C12" s="16"/>
      <c r="D12" s="16"/>
    </row>
    <row r="13" spans="3:4" ht="15.75">
      <c r="C13" s="16"/>
      <c r="D13" s="16"/>
    </row>
    <row r="14" spans="3:4" ht="15.75">
      <c r="C14" s="16"/>
      <c r="D14" s="16"/>
    </row>
    <row r="15" spans="3:4" ht="15.75">
      <c r="C15" s="16"/>
      <c r="D15" s="16"/>
    </row>
    <row r="16" spans="3:4" ht="15.75">
      <c r="C16" s="16"/>
      <c r="D16" s="16"/>
    </row>
    <row r="17" spans="3:4" ht="15.75">
      <c r="C17" s="16"/>
      <c r="D17" s="16"/>
    </row>
    <row r="18" spans="3:4" ht="15.75">
      <c r="C18" s="16"/>
      <c r="D18" s="16"/>
    </row>
    <row r="19" spans="3:4" ht="15.75">
      <c r="C19" s="16"/>
      <c r="D19" s="16"/>
    </row>
    <row r="20" spans="3:4" ht="15.75">
      <c r="C20" s="16"/>
      <c r="D20" s="16"/>
    </row>
    <row r="21" spans="3:4" ht="15.75">
      <c r="C21" s="16"/>
      <c r="D21" s="16"/>
    </row>
    <row r="22" spans="3:4" ht="15.75">
      <c r="C22" s="16"/>
      <c r="D22" s="16"/>
    </row>
    <row r="23" spans="3:4" ht="15.75">
      <c r="C23" s="16"/>
      <c r="D23" s="16"/>
    </row>
    <row r="24" spans="3:4" ht="15.75">
      <c r="C24" s="16"/>
      <c r="D24" s="16"/>
    </row>
    <row r="25" spans="3:4" ht="15.75">
      <c r="C25" s="16"/>
      <c r="D25" s="16"/>
    </row>
    <row r="26" spans="3:4" ht="15.75">
      <c r="C26" s="16"/>
      <c r="D26" s="16"/>
    </row>
    <row r="27" spans="3:4" ht="15.75">
      <c r="C27" s="16"/>
      <c r="D27" s="16"/>
    </row>
    <row r="28" spans="3:4" ht="15.75">
      <c r="C28" s="16"/>
      <c r="D28" s="16"/>
    </row>
    <row r="29" spans="3:4" ht="15.75">
      <c r="C29" s="16"/>
      <c r="D29" s="16"/>
    </row>
    <row r="30" spans="3:4" ht="15.75">
      <c r="C30" s="16"/>
      <c r="D30" s="16"/>
    </row>
    <row r="31" spans="3:4" ht="15.75">
      <c r="C31" s="16"/>
      <c r="D31" s="16"/>
    </row>
    <row r="32" spans="3:4" ht="15.75">
      <c r="C32" s="16"/>
      <c r="D32" s="16"/>
    </row>
    <row r="33" spans="3:4" ht="15.75">
      <c r="C33" s="16"/>
      <c r="D33" s="16"/>
    </row>
    <row r="34" spans="3:4" ht="15.75">
      <c r="C34" s="16"/>
      <c r="D34" s="16"/>
    </row>
    <row r="35" spans="3:4" ht="15.75">
      <c r="C35" s="16"/>
      <c r="D35" s="16"/>
    </row>
    <row r="36" spans="3:4" ht="15.75">
      <c r="C36" s="16"/>
      <c r="D36" s="16"/>
    </row>
    <row r="37" spans="3:4" ht="15.75">
      <c r="C37" s="16"/>
      <c r="D37" s="16"/>
    </row>
    <row r="38" spans="3:4" ht="15.75">
      <c r="C38" s="16"/>
      <c r="D38" s="16"/>
    </row>
    <row r="39" spans="3:4" ht="15.75">
      <c r="C39" s="16"/>
      <c r="D39" s="16"/>
    </row>
    <row r="40" spans="3:4" ht="15.75">
      <c r="C40" s="16"/>
      <c r="D40" s="16"/>
    </row>
    <row r="41" spans="3:4" ht="15.75">
      <c r="C41" s="16"/>
      <c r="D41" s="16"/>
    </row>
    <row r="42" spans="3:4" ht="15.75">
      <c r="C42" s="16"/>
      <c r="D42" s="16"/>
    </row>
    <row r="43" spans="3:4" ht="15.75">
      <c r="C43" s="16"/>
      <c r="D43" s="16"/>
    </row>
    <row r="44" spans="3:4" ht="15.75">
      <c r="C44" s="16"/>
      <c r="D44" s="16"/>
    </row>
    <row r="45" spans="3:4" ht="15.75">
      <c r="C45" s="16"/>
      <c r="D45" s="16"/>
    </row>
    <row r="46" spans="3:4" ht="15.75">
      <c r="C46" s="16"/>
      <c r="D46" s="16"/>
    </row>
    <row r="47" spans="3:4" ht="15.75">
      <c r="C47" s="16"/>
      <c r="D47" s="16"/>
    </row>
    <row r="48" spans="3:4" ht="15.75">
      <c r="C48" s="16"/>
      <c r="D48" s="16"/>
    </row>
  </sheetData>
  <mergeCells count="1">
    <mergeCell ref="C2:E2"/>
  </mergeCells>
  <hyperlinks>
    <hyperlink ref="G2" location="'21'!A1" display="[21]"/>
    <hyperlink ref="I4" location="'1'!A1" display="[1]"/>
    <hyperlink ref="I5" location="'5'!A1" display="[5]"/>
    <hyperlink ref="I6" location="'16'!A1" display="[16]"/>
    <hyperlink ref="I7" location="'17'!A1" display="[17]"/>
    <hyperlink ref="I8" location="'18'!A1" display="[18]"/>
    <hyperlink ref="I9" location="'19'!A1" display="[19]"/>
  </hyperlinks>
  <printOptions/>
  <pageMargins left="0.75" right="0.75" top="1" bottom="1" header="0.5" footer="0.5"/>
  <pageSetup horizontalDpi="300" verticalDpi="300" orientation="portrait" r:id="rId1"/>
</worksheet>
</file>

<file path=xl/worksheets/sheet22.xml><?xml version="1.0" encoding="utf-8"?>
<worksheet xmlns="http://schemas.openxmlformats.org/spreadsheetml/2006/main" xmlns:r="http://schemas.openxmlformats.org/officeDocument/2006/relationships">
  <sheetPr codeName="Sheet28"/>
  <dimension ref="A1:L41"/>
  <sheetViews>
    <sheetView workbookViewId="0" topLeftCell="A1">
      <selection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16" customWidth="1"/>
    <col min="8" max="8" width="0.8984375" style="7" customWidth="1"/>
    <col min="9" max="9" width="15.5" style="7" customWidth="1"/>
    <col min="10" max="10" width="7.69921875" style="7" customWidth="1"/>
    <col min="11" max="11" width="7.69921875" style="16" customWidth="1"/>
  </cols>
  <sheetData>
    <row r="1" spans="5:11" ht="16.5" thickBot="1">
      <c r="E1" s="10" t="s">
        <v>309</v>
      </c>
      <c r="G1" s="70">
        <f>G9</f>
        <v>0</v>
      </c>
      <c r="I1" s="4" t="s">
        <v>72</v>
      </c>
      <c r="J1" s="19">
        <f>IF(6!G5=TRUE,'15'!J1,IF(6!G6=TRUE,'20'!J1,0))</f>
        <v>0</v>
      </c>
      <c r="K1" s="2" t="str">
        <f>IF(K9="Hit Torso","Torso",K2)</f>
        <v>Torso</v>
      </c>
    </row>
    <row r="2" spans="1:12" ht="31.5" customHeight="1">
      <c r="A2" s="9" t="s">
        <v>273</v>
      </c>
      <c r="B2" s="9"/>
      <c r="C2" s="129" t="s">
        <v>283</v>
      </c>
      <c r="D2" s="140"/>
      <c r="E2" s="141"/>
      <c r="F2" s="35"/>
      <c r="G2" s="33" t="s">
        <v>280</v>
      </c>
      <c r="I2" s="82">
        <f>IF(OR(C11="Your attack has missed by 1 - you have hit the Torso instead. Go to [25].",C11="You have scored a possible hit. Go to [25]."),"t","")</f>
      </c>
      <c r="J2" s="22"/>
      <c r="K2" s="41" t="str">
        <f>6!I1</f>
        <v>Torso</v>
      </c>
      <c r="L2" s="20"/>
    </row>
    <row r="3" spans="1:12" ht="15.75" customHeight="1">
      <c r="A3" s="9"/>
      <c r="B3" s="9"/>
      <c r="C3" s="129" t="s">
        <v>284</v>
      </c>
      <c r="D3" s="130"/>
      <c r="E3" s="131"/>
      <c r="F3" s="35"/>
      <c r="G3" s="33" t="s">
        <v>279</v>
      </c>
      <c r="I3" s="82">
        <f>IF(C11="Your attack has critically hit. Go to [24].","t","")</f>
      </c>
      <c r="J3" s="22"/>
      <c r="L3" s="20"/>
    </row>
    <row r="4" spans="1:12" ht="15.75" customHeight="1">
      <c r="A4" s="9"/>
      <c r="B4" s="9"/>
      <c r="C4" s="129" t="s">
        <v>285</v>
      </c>
      <c r="D4" s="130"/>
      <c r="E4" s="131"/>
      <c r="F4" s="35"/>
      <c r="G4" s="33" t="s">
        <v>278</v>
      </c>
      <c r="I4" s="82">
        <f>IF(C11="Your attack has missed. Go to [23].","t","")</f>
      </c>
      <c r="J4" s="53"/>
      <c r="K4" s="41"/>
      <c r="L4" s="20"/>
    </row>
    <row r="5" spans="1:12" ht="15.75" customHeight="1">
      <c r="A5" s="9"/>
      <c r="B5" s="9"/>
      <c r="C5" s="129" t="s">
        <v>286</v>
      </c>
      <c r="D5" s="130"/>
      <c r="E5" s="131"/>
      <c r="F5" s="35"/>
      <c r="G5" s="33" t="s">
        <v>277</v>
      </c>
      <c r="I5" s="83">
        <f>IF(C11="Your attack has critically missed. Go to [22].","t","")</f>
      </c>
      <c r="L5" s="20"/>
    </row>
    <row r="6" spans="1:12" ht="15.75">
      <c r="A6" s="9"/>
      <c r="B6" s="9"/>
      <c r="C6" s="9"/>
      <c r="E6" s="1"/>
      <c r="G6" s="93">
        <f>IF(G7="choose",0,G7)</f>
        <v>0</v>
      </c>
      <c r="I6" s="53" t="str">
        <f>IF(OR(G9=3,G9=4),"Crit Hit","Not Crit Hit")</f>
        <v>Not Crit Hit</v>
      </c>
      <c r="J6" s="53" t="s">
        <v>275</v>
      </c>
      <c r="K6" s="41" t="str">
        <f>IF(OR(I6="Crit Hit",I7="Crit Hit",I8="Crit Hit"),"Crit Hit","-")</f>
        <v>-</v>
      </c>
      <c r="L6" s="20"/>
    </row>
    <row r="7" spans="3:12" ht="15.75">
      <c r="C7" s="16"/>
      <c r="D7" s="16"/>
      <c r="E7" s="10" t="s">
        <v>274</v>
      </c>
      <c r="G7" s="47" t="s">
        <v>56</v>
      </c>
      <c r="I7" s="60" t="str">
        <f>IF(AND(J1&gt;14,G9=5),"Crit Hit","Not Crit Hit")</f>
        <v>Not Crit Hit</v>
      </c>
      <c r="J7" s="41">
        <v>5</v>
      </c>
      <c r="K7" s="41"/>
      <c r="L7" s="20"/>
    </row>
    <row r="8" spans="3:12" ht="15.75">
      <c r="C8" s="16"/>
      <c r="D8" s="10" t="s">
        <v>385</v>
      </c>
      <c r="G8" s="47"/>
      <c r="I8" s="41" t="str">
        <f>IF(AND(J1&gt;15,G9=6),"Crit Hit","Not Crit Hit")</f>
        <v>Not Crit Hit</v>
      </c>
      <c r="J8" s="41">
        <v>6</v>
      </c>
      <c r="K8" s="41"/>
      <c r="L8" s="84"/>
    </row>
    <row r="9" spans="3:12" ht="15.75">
      <c r="C9" s="16"/>
      <c r="D9" s="16"/>
      <c r="E9" s="16"/>
      <c r="G9" s="41">
        <f>IF(ISNUMBER(G8),G8,G6)</f>
        <v>0</v>
      </c>
      <c r="I9" s="41" t="str">
        <f>IF(OR(K2="Eye",K2="Skull",K2="Face",K2="Groin",K2="Neck",K2="Vitals"),"By1","NotBy1")</f>
        <v>NotBy1</v>
      </c>
      <c r="J9" s="34"/>
      <c r="K9" s="41" t="str">
        <f>IF(AND(I9="By1",G9-J1=1),"Hit Torso","-")</f>
        <v>-</v>
      </c>
      <c r="L9" s="20"/>
    </row>
    <row r="10" spans="3:12" ht="15.75">
      <c r="C10" s="69" t="s">
        <v>282</v>
      </c>
      <c r="D10" s="16"/>
      <c r="G10" s="41">
        <f ca="1">(ROUND(RAND()*(6-1)+1,0))+(ROUND(RAND()*(6-1)+1,0))+(ROUND(RAND()*(6-1)+1,0))</f>
        <v>8</v>
      </c>
      <c r="I10" s="41" t="str">
        <f>IF(G9=18,"Crit Miss","Not Crit Miss")</f>
        <v>Not Crit Miss</v>
      </c>
      <c r="J10" s="41">
        <v>18</v>
      </c>
      <c r="K10" s="41" t="str">
        <f>IF(OR(I10="Crit Miss",I11="Crit Miss",I12="Crit Miss"),"Crit Miss","-")</f>
        <v>-</v>
      </c>
      <c r="L10" s="20"/>
    </row>
    <row r="11" spans="3:12" ht="15.75">
      <c r="C11" s="55">
        <f>IF(K6="Crit Hit","Your attack has critically hit. Go to [24].",IF(K10="Crit Miss","Your attack has critically missed. Go to [22].",IF(K9="Hit Torso","Your attack has missed by 1 - you have hit the Torso instead. Go to [25].",IF(G9=0,"",K13))))</f>
      </c>
      <c r="D11" s="16"/>
      <c r="E11" s="16"/>
      <c r="G11" s="67"/>
      <c r="I11" s="41" t="str">
        <f>IF(AND(J1&lt;16,G9&gt;16),"Crit Miss","Not Crit Miss")</f>
        <v>Not Crit Miss</v>
      </c>
      <c r="J11" s="41">
        <v>17</v>
      </c>
      <c r="K11" s="41"/>
      <c r="L11" s="20"/>
    </row>
    <row r="12" spans="3:12" ht="15.75">
      <c r="C12" s="55"/>
      <c r="D12" s="16"/>
      <c r="E12" s="16"/>
      <c r="G12" s="67"/>
      <c r="I12" s="41" t="str">
        <f>IF(AND(6!G6=TRUE,G9&lt;&gt;0,J1-G9&gt;9),"Crit Miss","Not Crit Miss")</f>
        <v>Not Crit Miss</v>
      </c>
      <c r="J12" s="41" t="s">
        <v>276</v>
      </c>
      <c r="K12" s="41"/>
      <c r="L12" s="20"/>
    </row>
    <row r="13" spans="3:12" ht="15.75">
      <c r="C13" s="55">
        <f>IF(AND('12'!G13&gt;0,G9&lt;&gt;0,I13&gt;=1),"Also note, your Rapid Fire attack may have scored extra possible hits (B374)","")</f>
      </c>
      <c r="D13" s="10"/>
      <c r="E13" s="16"/>
      <c r="G13" s="67"/>
      <c r="I13" s="41">
        <f>IF('12'!G14="choose",0,ROUNDDOWN((J1-G9)/'12'!G14,0))</f>
        <v>0</v>
      </c>
      <c r="J13" s="34"/>
      <c r="K13" s="68" t="str">
        <f>IF(G9&lt;=J1,"You have scored a possible hit. Go to [25].","Your attack has missed. Go to [23].")</f>
        <v>You have scored a possible hit. Go to [25].</v>
      </c>
      <c r="L13" s="20"/>
    </row>
    <row r="14" spans="3:12" ht="15.75">
      <c r="C14" s="16"/>
      <c r="D14" s="10">
        <f>IF(AND(G9&lt;&gt;0,I13&gt;=1),"Possible extra hits:","")</f>
      </c>
      <c r="E14" s="16">
        <f>IF(D14="Possible extra hits:",I13,"")</f>
      </c>
      <c r="G14" s="67"/>
      <c r="I14" s="16"/>
      <c r="J14" s="75"/>
      <c r="L14" s="20"/>
    </row>
    <row r="15" spans="3:12" ht="15.75">
      <c r="C15" s="16"/>
      <c r="D15" s="16"/>
      <c r="E15" s="41">
        <f>IF(ISNUMBER(E14),E14,"")</f>
      </c>
      <c r="J15" s="75"/>
      <c r="L15" s="20"/>
    </row>
    <row r="16" spans="3:5" ht="15.75">
      <c r="C16" s="16"/>
      <c r="D16" s="16"/>
      <c r="E16" s="16"/>
    </row>
    <row r="17" spans="4:5" ht="15.75">
      <c r="D17" s="16"/>
      <c r="E17" s="16"/>
    </row>
    <row r="18" spans="3:5" ht="15.75">
      <c r="C18" s="16"/>
      <c r="D18" s="16"/>
      <c r="E18" s="16"/>
    </row>
    <row r="19" spans="3:5" ht="15.75">
      <c r="C19" s="16"/>
      <c r="D19" s="16"/>
      <c r="E19" s="16"/>
    </row>
    <row r="20" spans="3:5" ht="15.75">
      <c r="C20" s="16"/>
      <c r="D20" s="16"/>
      <c r="E20" s="16"/>
    </row>
    <row r="21" spans="3:5" ht="15.75">
      <c r="C21" s="16"/>
      <c r="D21" s="16"/>
      <c r="E21" s="16"/>
    </row>
    <row r="22" spans="3:5" ht="15.75">
      <c r="C22" s="16"/>
      <c r="D22" s="16"/>
      <c r="E22" s="16"/>
    </row>
    <row r="23" spans="3:5" ht="15.75">
      <c r="C23" s="16"/>
      <c r="D23" s="16"/>
      <c r="E23" s="16"/>
    </row>
    <row r="24" spans="3:5" ht="15.75">
      <c r="C24" s="16"/>
      <c r="D24" s="16"/>
      <c r="E24" s="16"/>
    </row>
    <row r="25" spans="3:5" ht="15.75">
      <c r="C25" s="16"/>
      <c r="D25" s="16"/>
      <c r="E25" s="16"/>
    </row>
    <row r="26" spans="3:5" ht="15.75">
      <c r="C26" s="16"/>
      <c r="D26" s="16"/>
      <c r="E26" s="16"/>
    </row>
    <row r="27" spans="3:5" ht="15.75">
      <c r="C27" s="16"/>
      <c r="D27" s="16"/>
      <c r="E27" s="16"/>
    </row>
    <row r="28" spans="3:5" ht="15.75">
      <c r="C28" s="16"/>
      <c r="D28" s="16"/>
      <c r="E28" s="16"/>
    </row>
    <row r="29" spans="3:4" ht="15.75">
      <c r="C29" s="16"/>
      <c r="D29" s="16"/>
    </row>
    <row r="30" spans="3:5" ht="15.75">
      <c r="C30" s="16"/>
      <c r="D30" s="16"/>
      <c r="E30" s="16"/>
    </row>
    <row r="31" spans="3:5" ht="15.75">
      <c r="C31" s="16"/>
      <c r="D31" s="16"/>
      <c r="E31" s="16"/>
    </row>
    <row r="32" spans="3:5" ht="15.75">
      <c r="C32" s="16"/>
      <c r="D32" s="16"/>
      <c r="E32" s="16"/>
    </row>
    <row r="33" spans="3:5" ht="15.75">
      <c r="C33" s="16"/>
      <c r="D33" s="16"/>
      <c r="E33" s="16"/>
    </row>
    <row r="34" spans="3:5" ht="15.75">
      <c r="C34" s="16"/>
      <c r="D34" s="16"/>
      <c r="E34" s="16"/>
    </row>
    <row r="35" spans="3:5" ht="15.75">
      <c r="C35" s="16"/>
      <c r="D35" s="16"/>
      <c r="E35" s="16"/>
    </row>
    <row r="36" spans="3:5" ht="15.75">
      <c r="C36" s="16"/>
      <c r="D36" s="16"/>
      <c r="E36" s="16"/>
    </row>
    <row r="37" spans="3:5" ht="15.75">
      <c r="C37" s="16"/>
      <c r="D37" s="16"/>
      <c r="E37" s="16"/>
    </row>
    <row r="38" spans="3:5" ht="15.75">
      <c r="C38" s="16"/>
      <c r="D38" s="16"/>
      <c r="E38" s="16"/>
    </row>
    <row r="39" spans="3:5" ht="15.75">
      <c r="C39" s="16"/>
      <c r="D39" s="16"/>
      <c r="E39" s="16"/>
    </row>
    <row r="40" spans="3:5" ht="15.75">
      <c r="C40" s="16"/>
      <c r="D40" s="16"/>
      <c r="E40" s="16"/>
    </row>
    <row r="41" spans="3:5" ht="15.75">
      <c r="C41" s="16"/>
      <c r="D41" s="16"/>
      <c r="E41" s="16"/>
    </row>
  </sheetData>
  <mergeCells count="4">
    <mergeCell ref="C2:E2"/>
    <mergeCell ref="C5:E5"/>
    <mergeCell ref="C3:E3"/>
    <mergeCell ref="C4:E4"/>
  </mergeCells>
  <dataValidations count="1">
    <dataValidation type="list" allowBlank="1" showInputMessage="1" showErrorMessage="1" sqref="G7">
      <formula1>"choose,3,4,5,6,7,8,9,10,11,12,13,14,15,16,17,18"</formula1>
    </dataValidation>
  </dataValidations>
  <hyperlinks>
    <hyperlink ref="G2" location="'25'!A1" display="[25]"/>
    <hyperlink ref="G3" location="'24'!A1" display="[24]"/>
    <hyperlink ref="G4" location="'23'!A1" display="[23]"/>
    <hyperlink ref="G5" location="'22'!A1" display="[22]"/>
  </hyperlinks>
  <printOptions/>
  <pageMargins left="0.75" right="0.75" top="1" bottom="1" header="0.5" footer="0.5"/>
  <pageSetup horizontalDpi="300" verticalDpi="300" orientation="portrait" r:id="rId2"/>
  <drawing r:id="rId1"/>
</worksheet>
</file>

<file path=xl/worksheets/sheet23.xml><?xml version="1.0" encoding="utf-8"?>
<worksheet xmlns="http://schemas.openxmlformats.org/spreadsheetml/2006/main" xmlns:r="http://schemas.openxmlformats.org/officeDocument/2006/relationships">
  <sheetPr codeName="Sheet29"/>
  <dimension ref="A1:K41"/>
  <sheetViews>
    <sheetView workbookViewId="0" topLeftCell="A1">
      <selection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'21'!K1</f>
        <v>Torso</v>
      </c>
    </row>
    <row r="2" spans="1:10" ht="48" customHeight="1">
      <c r="A2" s="9" t="s">
        <v>277</v>
      </c>
      <c r="B2" s="9"/>
      <c r="C2" s="129" t="s">
        <v>19</v>
      </c>
      <c r="D2" s="140"/>
      <c r="E2" s="141"/>
      <c r="F2" s="35"/>
      <c r="G2" s="33" t="s">
        <v>18</v>
      </c>
      <c r="I2" s="22"/>
      <c r="J2" s="53"/>
    </row>
    <row r="3" spans="1:10" ht="31.5" customHeight="1">
      <c r="A3" s="9"/>
      <c r="B3" s="9"/>
      <c r="C3" s="129" t="s">
        <v>310</v>
      </c>
      <c r="D3" s="130"/>
      <c r="E3" s="131"/>
      <c r="F3" s="35"/>
      <c r="G3" s="33" t="s">
        <v>366</v>
      </c>
      <c r="I3" s="22"/>
      <c r="J3" s="53"/>
    </row>
    <row r="4" spans="1:9" ht="15.75">
      <c r="A4" s="9"/>
      <c r="B4" s="9"/>
      <c r="C4" s="129" t="s">
        <v>311</v>
      </c>
      <c r="D4" s="130"/>
      <c r="E4" s="131"/>
      <c r="G4" s="33" t="s">
        <v>278</v>
      </c>
      <c r="I4" s="2"/>
    </row>
    <row r="5" spans="3:5" ht="15.75">
      <c r="C5" s="16"/>
      <c r="D5" s="16"/>
      <c r="E5" s="16"/>
    </row>
    <row r="6" spans="3:5" ht="15.75">
      <c r="C6" s="16"/>
      <c r="D6" s="16"/>
      <c r="E6" s="16"/>
    </row>
    <row r="7" spans="3:5" ht="15.75">
      <c r="C7" s="16"/>
      <c r="D7" s="16"/>
      <c r="E7" s="16"/>
    </row>
    <row r="8" spans="3:5" ht="15.75">
      <c r="C8" s="16"/>
      <c r="D8" s="16"/>
      <c r="E8" s="16"/>
    </row>
    <row r="9" spans="3:5" ht="15.75">
      <c r="C9" s="16"/>
      <c r="D9" s="16"/>
      <c r="E9" s="16"/>
    </row>
    <row r="10" spans="3:5" ht="15.75">
      <c r="C10" s="16"/>
      <c r="D10" s="16"/>
      <c r="E10" s="16"/>
    </row>
    <row r="11" spans="3:5" ht="15.75">
      <c r="C11" s="16"/>
      <c r="D11" s="16"/>
      <c r="E11" s="16"/>
    </row>
    <row r="12" spans="3:5" ht="15.75">
      <c r="C12" s="16"/>
      <c r="D12" s="16"/>
      <c r="E12" s="16"/>
    </row>
    <row r="13" spans="3:5" ht="15.75">
      <c r="C13" s="16"/>
      <c r="D13" s="16"/>
      <c r="E13" s="16"/>
    </row>
    <row r="14" spans="3:5" ht="15.75">
      <c r="C14" s="16"/>
      <c r="D14" s="16"/>
      <c r="E14" s="16"/>
    </row>
    <row r="15" spans="3:5" ht="15.75">
      <c r="C15" s="16"/>
      <c r="D15" s="16"/>
      <c r="E15" s="16"/>
    </row>
    <row r="16" spans="3:5" ht="15.75">
      <c r="C16" s="16"/>
      <c r="D16" s="16"/>
      <c r="E16" s="16"/>
    </row>
    <row r="17" spans="3:5" ht="15.75">
      <c r="C17" s="16"/>
      <c r="D17" s="16"/>
      <c r="E17" s="16"/>
    </row>
    <row r="18" spans="3:5" ht="15.75">
      <c r="C18" s="16"/>
      <c r="D18" s="16"/>
      <c r="E18" s="16"/>
    </row>
    <row r="19" spans="3:5" ht="15.75">
      <c r="C19" s="16"/>
      <c r="D19" s="16"/>
      <c r="E19" s="16"/>
    </row>
    <row r="20" spans="3:5" ht="15.75">
      <c r="C20" s="16"/>
      <c r="D20" s="16"/>
      <c r="E20" s="16"/>
    </row>
    <row r="21" spans="3:5" ht="15.75">
      <c r="C21" s="16"/>
      <c r="D21" s="16"/>
      <c r="E21" s="16"/>
    </row>
    <row r="22" spans="3:5" ht="15.75">
      <c r="C22" s="16"/>
      <c r="D22" s="16"/>
      <c r="E22" s="16"/>
    </row>
    <row r="23" spans="3:5" ht="15.75">
      <c r="C23" s="16"/>
      <c r="D23" s="16"/>
      <c r="E23" s="16"/>
    </row>
    <row r="24" spans="3:5" ht="15.75">
      <c r="C24" s="16"/>
      <c r="D24" s="16"/>
      <c r="E24" s="16"/>
    </row>
    <row r="25" spans="3:5" ht="15.75">
      <c r="C25" s="16"/>
      <c r="D25" s="16"/>
      <c r="E25" s="16"/>
    </row>
    <row r="26" spans="3:5" ht="15.75">
      <c r="C26" s="16"/>
      <c r="D26" s="16"/>
      <c r="E26" s="16"/>
    </row>
    <row r="27" spans="3:5" ht="15.75">
      <c r="C27" s="16"/>
      <c r="D27" s="16"/>
      <c r="E27" s="16"/>
    </row>
    <row r="28" spans="3:5" ht="15.75">
      <c r="C28" s="16"/>
      <c r="D28" s="16"/>
      <c r="E28" s="16"/>
    </row>
    <row r="29" spans="3:5" ht="15.75">
      <c r="C29" s="16"/>
      <c r="D29" s="16"/>
      <c r="E29" s="16"/>
    </row>
    <row r="30" spans="3:5" ht="15.75">
      <c r="C30" s="16"/>
      <c r="D30" s="16"/>
      <c r="E30" s="16"/>
    </row>
    <row r="31" spans="3:5" ht="15.75">
      <c r="C31" s="16"/>
      <c r="D31" s="16"/>
      <c r="E31" s="16"/>
    </row>
    <row r="32" spans="3:5" ht="15.75">
      <c r="C32" s="16"/>
      <c r="D32" s="16"/>
      <c r="E32" s="16"/>
    </row>
    <row r="33" spans="3:5" ht="15.75">
      <c r="C33" s="16"/>
      <c r="D33" s="16"/>
      <c r="E33" s="16"/>
    </row>
    <row r="34" spans="3:5" ht="15.75">
      <c r="C34" s="16"/>
      <c r="D34" s="16"/>
      <c r="E34" s="16"/>
    </row>
    <row r="35" spans="3:5" ht="15.75">
      <c r="C35" s="16"/>
      <c r="D35" s="16"/>
      <c r="E35" s="16"/>
    </row>
    <row r="36" spans="3:5" ht="15.75">
      <c r="C36" s="16"/>
      <c r="D36" s="16"/>
      <c r="E36" s="16"/>
    </row>
    <row r="37" spans="3:5" ht="15.75">
      <c r="C37" s="16"/>
      <c r="D37" s="16"/>
      <c r="E37" s="16"/>
    </row>
    <row r="38" spans="3:5" ht="15.75">
      <c r="C38" s="16"/>
      <c r="D38" s="16"/>
      <c r="E38" s="16"/>
    </row>
    <row r="39" spans="3:5" ht="15.75">
      <c r="C39" s="16"/>
      <c r="D39" s="16"/>
      <c r="E39" s="16"/>
    </row>
    <row r="40" spans="3:5" ht="15.75">
      <c r="C40" s="16"/>
      <c r="D40" s="16"/>
      <c r="E40" s="16"/>
    </row>
    <row r="41" spans="3:5" ht="15.75">
      <c r="C41" s="16"/>
      <c r="D41" s="16"/>
      <c r="E41" s="16"/>
    </row>
  </sheetData>
  <mergeCells count="3">
    <mergeCell ref="C2:E2"/>
    <mergeCell ref="C3:E3"/>
    <mergeCell ref="C4:E4"/>
  </mergeCells>
  <hyperlinks>
    <hyperlink ref="G2" location="'48'!A1" display="[48]"/>
    <hyperlink ref="G3" location="'29'!A1" display="[29]"/>
    <hyperlink ref="G4" location="'23'!A1" display="[23]"/>
  </hyperlinks>
  <printOptions/>
  <pageMargins left="0.75" right="0.75" top="1" bottom="1" header="0.5" footer="0.5"/>
  <pageSetup horizontalDpi="300" verticalDpi="300" orientation="portrait" r:id="rId1"/>
</worksheet>
</file>

<file path=xl/worksheets/sheet24.xml><?xml version="1.0" encoding="utf-8"?>
<worksheet xmlns="http://schemas.openxmlformats.org/spreadsheetml/2006/main" xmlns:r="http://schemas.openxmlformats.org/officeDocument/2006/relationships">
  <sheetPr codeName="Sheet31"/>
  <dimension ref="A1:K41"/>
  <sheetViews>
    <sheetView workbookViewId="0" topLeftCell="A1">
      <selection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'21'!K1</f>
        <v>Torso</v>
      </c>
    </row>
    <row r="2" spans="1:10" ht="81" customHeight="1">
      <c r="A2" s="9" t="s">
        <v>278</v>
      </c>
      <c r="B2" s="9"/>
      <c r="C2" s="129" t="s">
        <v>312</v>
      </c>
      <c r="D2" s="140"/>
      <c r="E2" s="141"/>
      <c r="F2" s="35"/>
      <c r="G2" s="33" t="s">
        <v>43</v>
      </c>
      <c r="I2" s="22"/>
      <c r="J2" s="53"/>
    </row>
    <row r="3" spans="1:10" ht="15.75" customHeight="1">
      <c r="A3" s="9"/>
      <c r="B3" s="9"/>
      <c r="C3" s="129" t="s">
        <v>20</v>
      </c>
      <c r="D3" s="130"/>
      <c r="E3" s="131"/>
      <c r="F3" s="35"/>
      <c r="G3" s="33" t="s">
        <v>18</v>
      </c>
      <c r="I3" s="22"/>
      <c r="J3" s="53"/>
    </row>
    <row r="4" spans="1:9" ht="15.75">
      <c r="A4" s="9"/>
      <c r="B4" s="9"/>
      <c r="C4" s="9"/>
      <c r="E4" s="1"/>
      <c r="G4" s="8"/>
      <c r="I4" s="2"/>
    </row>
    <row r="5" spans="3:5" ht="15.75">
      <c r="C5" s="16"/>
      <c r="D5" s="16"/>
      <c r="E5" s="16"/>
    </row>
    <row r="6" spans="3:5" ht="15.75">
      <c r="C6" s="16"/>
      <c r="D6" s="16"/>
      <c r="E6" s="16"/>
    </row>
    <row r="7" spans="3:5" ht="15.75">
      <c r="C7" s="16"/>
      <c r="D7" s="16"/>
      <c r="E7" s="16"/>
    </row>
    <row r="8" spans="3:5" ht="15.75">
      <c r="C8" s="16"/>
      <c r="D8" s="16"/>
      <c r="E8" s="16"/>
    </row>
    <row r="9" spans="3:5" ht="15.75">
      <c r="C9" s="16"/>
      <c r="D9" s="16"/>
      <c r="E9" s="16"/>
    </row>
    <row r="10" spans="3:5" ht="15.75">
      <c r="C10" s="16"/>
      <c r="D10" s="16"/>
      <c r="E10" s="16"/>
    </row>
    <row r="11" spans="3:5" ht="15.75">
      <c r="C11" s="16"/>
      <c r="D11" s="16"/>
      <c r="E11" s="16"/>
    </row>
    <row r="12" spans="3:5" ht="15.75">
      <c r="C12" s="16"/>
      <c r="D12" s="16"/>
      <c r="E12" s="16"/>
    </row>
    <row r="13" spans="3:5" ht="15.75">
      <c r="C13" s="16"/>
      <c r="D13" s="16"/>
      <c r="E13" s="16"/>
    </row>
    <row r="14" spans="3:5" ht="15.75">
      <c r="C14" s="16"/>
      <c r="D14" s="16"/>
      <c r="E14" s="16"/>
    </row>
    <row r="15" spans="3:5" ht="15.75">
      <c r="C15" s="16"/>
      <c r="D15" s="16"/>
      <c r="E15" s="16"/>
    </row>
    <row r="16" spans="3:5" ht="15.75">
      <c r="C16" s="16"/>
      <c r="D16" s="16"/>
      <c r="E16" s="16"/>
    </row>
    <row r="17" spans="3:5" ht="15.75">
      <c r="C17" s="16"/>
      <c r="D17" s="16"/>
      <c r="E17" s="16"/>
    </row>
    <row r="18" spans="3:5" ht="15.75">
      <c r="C18" s="16"/>
      <c r="D18" s="16"/>
      <c r="E18" s="16"/>
    </row>
    <row r="19" spans="3:5" ht="15.75">
      <c r="C19" s="16"/>
      <c r="D19" s="16"/>
      <c r="E19" s="16"/>
    </row>
    <row r="20" spans="3:5" ht="15.75">
      <c r="C20" s="16"/>
      <c r="D20" s="16"/>
      <c r="E20" s="16"/>
    </row>
    <row r="21" spans="3:5" ht="15.75">
      <c r="C21" s="16"/>
      <c r="D21" s="16"/>
      <c r="E21" s="16"/>
    </row>
    <row r="22" spans="3:5" ht="15.75">
      <c r="C22" s="16"/>
      <c r="D22" s="16"/>
      <c r="E22" s="16"/>
    </row>
    <row r="23" spans="3:5" ht="15.75">
      <c r="C23" s="16"/>
      <c r="D23" s="16"/>
      <c r="E23" s="16"/>
    </row>
    <row r="24" spans="3:5" ht="15.75">
      <c r="C24" s="16"/>
      <c r="D24" s="16"/>
      <c r="E24" s="16"/>
    </row>
    <row r="25" spans="3:5" ht="15.75">
      <c r="C25" s="16"/>
      <c r="D25" s="16"/>
      <c r="E25" s="16"/>
    </row>
    <row r="26" spans="3:5" ht="15.75">
      <c r="C26" s="16"/>
      <c r="D26" s="16"/>
      <c r="E26" s="16"/>
    </row>
    <row r="27" spans="3:5" ht="15.75">
      <c r="C27" s="16"/>
      <c r="D27" s="16"/>
      <c r="E27" s="16"/>
    </row>
    <row r="28" spans="3:5" ht="15.75">
      <c r="C28" s="16"/>
      <c r="D28" s="16"/>
      <c r="E28" s="16"/>
    </row>
    <row r="29" spans="3:5" ht="15.75">
      <c r="C29" s="16"/>
      <c r="D29" s="16"/>
      <c r="E29" s="16"/>
    </row>
    <row r="30" spans="3:5" ht="15.75">
      <c r="C30" s="16"/>
      <c r="D30" s="16"/>
      <c r="E30" s="16"/>
    </row>
    <row r="31" spans="3:5" ht="15.75">
      <c r="C31" s="16"/>
      <c r="D31" s="16"/>
      <c r="E31" s="16"/>
    </row>
    <row r="32" spans="3:5" ht="15.75">
      <c r="C32" s="16"/>
      <c r="D32" s="16"/>
      <c r="E32" s="16"/>
    </row>
    <row r="33" spans="3:5" ht="15.75">
      <c r="C33" s="16"/>
      <c r="D33" s="16"/>
      <c r="E33" s="16"/>
    </row>
    <row r="34" spans="3:5" ht="15.75">
      <c r="C34" s="16"/>
      <c r="D34" s="16"/>
      <c r="E34" s="16"/>
    </row>
    <row r="35" spans="3:5" ht="15.75">
      <c r="C35" s="16"/>
      <c r="D35" s="16"/>
      <c r="E35" s="16"/>
    </row>
    <row r="36" spans="3:5" ht="15.75">
      <c r="C36" s="16"/>
      <c r="D36" s="16"/>
      <c r="E36" s="16"/>
    </row>
    <row r="37" spans="3:5" ht="15.75">
      <c r="C37" s="16"/>
      <c r="D37" s="16"/>
      <c r="E37" s="16"/>
    </row>
    <row r="38" spans="3:5" ht="15.75">
      <c r="C38" s="16"/>
      <c r="D38" s="16"/>
      <c r="E38" s="16"/>
    </row>
    <row r="39" spans="3:5" ht="15.75">
      <c r="C39" s="16"/>
      <c r="D39" s="16"/>
      <c r="E39" s="16"/>
    </row>
    <row r="40" spans="3:5" ht="15.75">
      <c r="C40" s="16"/>
      <c r="D40" s="16"/>
      <c r="E40" s="16"/>
    </row>
    <row r="41" spans="3:5" ht="15.75">
      <c r="C41" s="16"/>
      <c r="D41" s="16"/>
      <c r="E41" s="16"/>
    </row>
  </sheetData>
  <mergeCells count="2">
    <mergeCell ref="C2:E2"/>
    <mergeCell ref="C3:E3"/>
  </mergeCells>
  <hyperlinks>
    <hyperlink ref="G2" location="'1'!A1" display="[1]"/>
    <hyperlink ref="G3" location="'48'!A1" display="[48]"/>
  </hyperlinks>
  <printOptions/>
  <pageMargins left="0.75" right="0.75" top="1" bottom="1" header="0.5" footer="0.5"/>
  <pageSetup horizontalDpi="300" verticalDpi="300" orientation="portrait" r:id="rId1"/>
</worksheet>
</file>

<file path=xl/worksheets/sheet25.xml><?xml version="1.0" encoding="utf-8"?>
<worksheet xmlns="http://schemas.openxmlformats.org/spreadsheetml/2006/main" xmlns:r="http://schemas.openxmlformats.org/officeDocument/2006/relationships">
  <sheetPr codeName="Sheet32"/>
  <dimension ref="A1:K41"/>
  <sheetViews>
    <sheetView workbookViewId="0" topLeftCell="A1">
      <selection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IF(AND(OR('21'!K1="Face",'21'!K1="Skull"),G18=TRUE),"Eye",'21'!K1)</f>
        <v>Torso</v>
      </c>
    </row>
    <row r="2" spans="1:11" ht="79.5" customHeight="1">
      <c r="A2" s="9" t="s">
        <v>279</v>
      </c>
      <c r="B2" s="9"/>
      <c r="C2" s="129" t="s">
        <v>391</v>
      </c>
      <c r="D2" s="140"/>
      <c r="E2" s="141"/>
      <c r="F2" s="35"/>
      <c r="G2" s="33" t="s">
        <v>366</v>
      </c>
      <c r="I2" s="53">
        <f>IF(OR(K1="Face",K1="Skull",K1="Eye"),"Head","")</f>
      </c>
      <c r="J2" s="53"/>
      <c r="K2" s="2"/>
    </row>
    <row r="3" spans="1:9" ht="15.75">
      <c r="A3" s="9"/>
      <c r="B3" s="9"/>
      <c r="C3" s="9"/>
      <c r="E3" s="1"/>
      <c r="G3" s="8"/>
      <c r="I3" s="2"/>
    </row>
    <row r="4" spans="3:5" ht="15.75">
      <c r="C4" s="50" t="s">
        <v>387</v>
      </c>
      <c r="D4" s="16"/>
      <c r="E4" s="16"/>
    </row>
    <row r="5" spans="3:7" ht="15.75">
      <c r="C5" s="16"/>
      <c r="D5" s="16"/>
      <c r="E5" s="10" t="s">
        <v>388</v>
      </c>
      <c r="G5" s="41" t="b">
        <v>0</v>
      </c>
    </row>
    <row r="6" spans="3:9" ht="15.75">
      <c r="C6" s="16"/>
      <c r="D6" s="16"/>
      <c r="E6" s="10" t="s">
        <v>398</v>
      </c>
      <c r="G6" s="41" t="b">
        <v>0</v>
      </c>
      <c r="I6" s="7">
        <f>IF(AND(G6=TRUE,I2&lt;&gt;"Head"),"Only possible on hits to the head (face, skull, eye)","")</f>
      </c>
    </row>
    <row r="7" spans="3:7" ht="15.75">
      <c r="C7" s="16"/>
      <c r="D7" s="16"/>
      <c r="E7" s="10" t="s">
        <v>389</v>
      </c>
      <c r="G7" s="41" t="b">
        <v>0</v>
      </c>
    </row>
    <row r="8" spans="3:7" ht="15.75">
      <c r="C8" s="16"/>
      <c r="D8" s="16"/>
      <c r="E8" s="10" t="s">
        <v>390</v>
      </c>
      <c r="G8" s="41" t="b">
        <v>0</v>
      </c>
    </row>
    <row r="9" spans="3:5" ht="15.75">
      <c r="C9" s="16"/>
      <c r="D9" s="16"/>
      <c r="E9" s="10"/>
    </row>
    <row r="10" spans="3:5" ht="15.75">
      <c r="C10" s="50" t="s">
        <v>392</v>
      </c>
      <c r="D10" s="16"/>
      <c r="E10" s="10"/>
    </row>
    <row r="11" spans="3:7" ht="15.75">
      <c r="C11" s="16"/>
      <c r="D11" s="16"/>
      <c r="E11" s="10" t="s">
        <v>394</v>
      </c>
      <c r="G11" s="41" t="b">
        <v>0</v>
      </c>
    </row>
    <row r="12" spans="3:9" ht="15.75">
      <c r="C12" s="16"/>
      <c r="D12" s="16"/>
      <c r="E12" s="10" t="s">
        <v>393</v>
      </c>
      <c r="G12" s="41" t="b">
        <v>0</v>
      </c>
      <c r="I12" s="100">
        <f>IF(AND(G12=TRUE,I2&lt;&gt;"Head"),"Only possible on hits to the head (face, skull, eye)","")</f>
      </c>
    </row>
    <row r="13" spans="3:7" ht="15.75">
      <c r="C13" s="16"/>
      <c r="D13" s="16"/>
      <c r="E13" s="10" t="s">
        <v>395</v>
      </c>
      <c r="G13" s="41" t="b">
        <v>0</v>
      </c>
    </row>
    <row r="14" spans="3:7" ht="15.75">
      <c r="C14" s="16"/>
      <c r="D14" s="16"/>
      <c r="E14" s="10" t="s">
        <v>396</v>
      </c>
      <c r="G14" s="41" t="b">
        <v>0</v>
      </c>
    </row>
    <row r="15" spans="3:5" ht="15.75">
      <c r="C15" s="16"/>
      <c r="D15" s="16"/>
      <c r="E15" s="10" t="str">
        <f>IF(OR(K1="Left Arm",K1="Left Leg",K1="Right Arm",K1="Right Leg",K1="Hand",K1="Foot"),"Hit location is also crippled for 16-HT seconds (minimum of 2)","(Further effects for limbs and extremities only)")</f>
        <v>(Further effects for limbs and extremities only)</v>
      </c>
    </row>
    <row r="16" spans="3:5" ht="15.75">
      <c r="C16" s="16"/>
      <c r="D16" s="16"/>
      <c r="E16" s="10"/>
    </row>
    <row r="17" spans="3:5" ht="15.75">
      <c r="C17" s="50" t="s">
        <v>231</v>
      </c>
      <c r="D17" s="16"/>
      <c r="E17" s="10"/>
    </row>
    <row r="18" spans="3:7" ht="15.75">
      <c r="C18" s="16"/>
      <c r="D18" s="16"/>
      <c r="E18" s="10" t="s">
        <v>397</v>
      </c>
      <c r="G18" s="41" t="b">
        <v>0</v>
      </c>
    </row>
    <row r="19" spans="3:5" ht="15.75">
      <c r="C19" s="16"/>
      <c r="D19" s="16"/>
      <c r="E19" s="10" t="s">
        <v>399</v>
      </c>
    </row>
    <row r="20" spans="3:5" ht="15.75">
      <c r="C20" s="16"/>
      <c r="D20" s="16"/>
      <c r="E20" s="10"/>
    </row>
    <row r="21" spans="3:5" ht="15.75">
      <c r="C21" s="16"/>
      <c r="D21" s="16"/>
      <c r="E21" s="10"/>
    </row>
    <row r="22" spans="3:5" ht="15.75">
      <c r="C22" s="16"/>
      <c r="D22" s="16"/>
      <c r="E22" s="10"/>
    </row>
    <row r="23" spans="3:5" ht="15.75">
      <c r="C23" s="16"/>
      <c r="D23" s="16"/>
      <c r="E23" s="10"/>
    </row>
    <row r="24" spans="3:5" ht="15.75">
      <c r="C24" s="16"/>
      <c r="D24" s="16"/>
      <c r="E24" s="16"/>
    </row>
    <row r="25" spans="3:5" ht="15.75">
      <c r="C25" s="16"/>
      <c r="D25" s="16"/>
      <c r="E25" s="16"/>
    </row>
    <row r="26" spans="3:5" ht="15.75">
      <c r="C26" s="16"/>
      <c r="D26" s="16"/>
      <c r="E26" s="16"/>
    </row>
    <row r="27" spans="3:5" ht="15.75">
      <c r="C27" s="16"/>
      <c r="D27" s="16"/>
      <c r="E27" s="16"/>
    </row>
    <row r="28" spans="3:5" ht="15.75">
      <c r="C28" s="16"/>
      <c r="D28" s="16"/>
      <c r="E28" s="16"/>
    </row>
    <row r="29" spans="3:5" ht="15.75">
      <c r="C29" s="16"/>
      <c r="D29" s="16"/>
      <c r="E29" s="16"/>
    </row>
    <row r="30" spans="3:5" ht="15.75">
      <c r="C30" s="16"/>
      <c r="D30" s="16"/>
      <c r="E30" s="16"/>
    </row>
    <row r="31" spans="3:5" ht="15.75">
      <c r="C31" s="16"/>
      <c r="D31" s="16"/>
      <c r="E31" s="16"/>
    </row>
    <row r="32" spans="3:5" ht="15.75">
      <c r="C32" s="16"/>
      <c r="D32" s="16"/>
      <c r="E32" s="16"/>
    </row>
    <row r="33" spans="3:5" ht="15.75">
      <c r="C33" s="16"/>
      <c r="D33" s="16"/>
      <c r="E33" s="16"/>
    </row>
    <row r="34" spans="3:5" ht="15.75">
      <c r="C34" s="16"/>
      <c r="D34" s="16"/>
      <c r="E34" s="16"/>
    </row>
    <row r="35" spans="3:5" ht="15.75">
      <c r="C35" s="16"/>
      <c r="D35" s="16"/>
      <c r="E35" s="16"/>
    </row>
    <row r="36" spans="3:5" ht="15.75">
      <c r="C36" s="16"/>
      <c r="D36" s="16"/>
      <c r="E36" s="16"/>
    </row>
    <row r="37" spans="3:5" ht="15.75">
      <c r="C37" s="16"/>
      <c r="D37" s="16"/>
      <c r="E37" s="16"/>
    </row>
    <row r="38" spans="3:5" ht="15.75">
      <c r="C38" s="16"/>
      <c r="D38" s="16"/>
      <c r="E38" s="16"/>
    </row>
    <row r="39" spans="3:5" ht="15.75">
      <c r="C39" s="16"/>
      <c r="D39" s="16"/>
      <c r="E39" s="16"/>
    </row>
    <row r="40" spans="3:5" ht="15.75">
      <c r="C40" s="16"/>
      <c r="D40" s="16"/>
      <c r="E40" s="16"/>
    </row>
    <row r="41" spans="3:5" ht="15.75">
      <c r="C41" s="16"/>
      <c r="D41" s="16"/>
      <c r="E41" s="16"/>
    </row>
  </sheetData>
  <mergeCells count="1">
    <mergeCell ref="C2:E2"/>
  </mergeCells>
  <hyperlinks>
    <hyperlink ref="G2" location="'29'!A1" display="[29]"/>
  </hyperlinks>
  <printOptions/>
  <pageMargins left="0.75" right="0.75" top="1" bottom="1" header="0.5" footer="0.5"/>
  <pageSetup horizontalDpi="300" verticalDpi="300" orientation="portrait" r:id="rId2"/>
  <legacyDrawing r:id="rId1"/>
</worksheet>
</file>

<file path=xl/worksheets/sheet26.xml><?xml version="1.0" encoding="utf-8"?>
<worksheet xmlns="http://schemas.openxmlformats.org/spreadsheetml/2006/main" xmlns:r="http://schemas.openxmlformats.org/officeDocument/2006/relationships">
  <sheetPr codeName="Sheet33"/>
  <dimension ref="A1:K61"/>
  <sheetViews>
    <sheetView workbookViewId="0" topLeftCell="A1">
      <pane ySplit="4" topLeftCell="BM5" activePane="bottomLeft" state="frozen"/>
      <selection pane="topLeft" activeCell="A1" sqref="A1"/>
      <selection pane="bottomLeft"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63.75" customHeight="1">
      <c r="A2" s="9" t="s">
        <v>280</v>
      </c>
      <c r="B2" s="9"/>
      <c r="C2" s="129" t="s">
        <v>354</v>
      </c>
      <c r="D2" s="140"/>
      <c r="E2" s="141"/>
      <c r="F2" s="35"/>
      <c r="G2" s="33" t="s">
        <v>360</v>
      </c>
      <c r="I2" s="22"/>
      <c r="J2" s="53"/>
    </row>
    <row r="3" spans="3:5" ht="15.75">
      <c r="C3" s="71" t="s">
        <v>313</v>
      </c>
      <c r="D3" s="72" t="s">
        <v>314</v>
      </c>
      <c r="E3" s="73" t="s">
        <v>315</v>
      </c>
    </row>
    <row r="4" spans="3:10" ht="15.75">
      <c r="C4" s="16"/>
      <c r="D4" s="16"/>
      <c r="E4" s="10" t="str">
        <f>IF(ISNUMBER(C3),"Dodge:",IF(ISNUMBER(D3),"Block:",IF(ISNUMBER(E3),"Parry:","Active Defense:")))</f>
        <v>Active Defense:</v>
      </c>
      <c r="G4" s="72">
        <f>IF(C3&lt;&gt;"Dodge",C3,IF(D3&lt;&gt;"Block",D3,IF(E3&lt;&gt;"Parry",E3,"")))</f>
      </c>
      <c r="I4" s="10" t="str">
        <f>IF(E4="Dodge:","Effective Dodge:",IF(E4="Block:","Effective Block:",IF(E4="Parry:","Effective Parry:","Effective Active Defense:")))</f>
        <v>Effective Active Defense:</v>
      </c>
      <c r="J4" s="72">
        <f>IF(G4="","",G4+G54)</f>
      </c>
    </row>
    <row r="5" spans="3:5" ht="15.75">
      <c r="C5" s="50" t="s">
        <v>316</v>
      </c>
      <c r="D5" s="16"/>
      <c r="E5" s="16"/>
    </row>
    <row r="6" spans="3:9" ht="15.75">
      <c r="C6" s="16"/>
      <c r="D6" s="10" t="s">
        <v>356</v>
      </c>
      <c r="E6" s="16">
        <v>-1</v>
      </c>
      <c r="G6" s="47">
        <f>IF(AND(ISNUMBER(E3),I6=TRUE),E6,"")</f>
      </c>
      <c r="I6" s="34" t="b">
        <v>0</v>
      </c>
    </row>
    <row r="7" spans="3:9" ht="15.75">
      <c r="C7" s="16"/>
      <c r="D7" s="10" t="s">
        <v>357</v>
      </c>
      <c r="E7" s="16">
        <v>-2</v>
      </c>
      <c r="G7" s="47">
        <f>IF(AND(ISNUMBER(E3),I7=TRUE),E7,"")</f>
      </c>
      <c r="I7" s="34" t="b">
        <v>0</v>
      </c>
    </row>
    <row r="8" spans="3:9" ht="15.75">
      <c r="C8" s="16"/>
      <c r="D8" s="10" t="s">
        <v>358</v>
      </c>
      <c r="E8" s="16">
        <v>2</v>
      </c>
      <c r="G8" s="47">
        <f>IF(AND(ISNUMBER(E3),I8=TRUE),E8,"")</f>
      </c>
      <c r="I8" s="34" t="b">
        <v>0</v>
      </c>
    </row>
    <row r="9" spans="3:9" ht="15.75">
      <c r="C9" s="16"/>
      <c r="D9" s="10" t="s">
        <v>317</v>
      </c>
      <c r="E9" s="16" t="s">
        <v>56</v>
      </c>
      <c r="G9" s="47">
        <f>IF(I9=TRUE,E9,"")</f>
      </c>
      <c r="I9" s="34" t="b">
        <v>0</v>
      </c>
    </row>
    <row r="10" spans="3:9" ht="15.75">
      <c r="C10" s="16"/>
      <c r="D10" s="10" t="s">
        <v>359</v>
      </c>
      <c r="E10" s="16">
        <v>-3</v>
      </c>
      <c r="G10" s="47">
        <f>IF(AND(ISNUMBER(E3),I10=TRUE),E10,"")</f>
      </c>
      <c r="I10" s="34" t="b">
        <v>0</v>
      </c>
    </row>
    <row r="11" spans="3:9" ht="15.75">
      <c r="C11" s="16"/>
      <c r="D11" s="10"/>
      <c r="E11" s="16"/>
      <c r="I11" s="34"/>
    </row>
    <row r="12" spans="3:9" ht="15.75">
      <c r="C12" s="50" t="s">
        <v>318</v>
      </c>
      <c r="D12" s="10"/>
      <c r="E12" s="16"/>
      <c r="I12" s="34"/>
    </row>
    <row r="13" spans="3:9" ht="15.75">
      <c r="C13" s="16"/>
      <c r="D13" s="10" t="s">
        <v>319</v>
      </c>
      <c r="E13" s="16">
        <v>2</v>
      </c>
      <c r="G13" s="47">
        <f>IF(I13=TRUE,E13,"")</f>
      </c>
      <c r="I13" s="34" t="b">
        <v>0</v>
      </c>
    </row>
    <row r="14" spans="3:9" ht="15.75">
      <c r="C14" s="16"/>
      <c r="I14" s="34"/>
    </row>
    <row r="15" spans="3:9" ht="15.75">
      <c r="C15" s="50" t="s">
        <v>320</v>
      </c>
      <c r="D15" s="10"/>
      <c r="E15" s="16"/>
      <c r="I15" s="34"/>
    </row>
    <row r="16" spans="3:9" ht="15.75">
      <c r="C16" s="16"/>
      <c r="D16" s="10" t="s">
        <v>238</v>
      </c>
      <c r="E16" s="16">
        <v>-3</v>
      </c>
      <c r="G16" s="47">
        <f>IF(I16=TRUE,E16,"")</f>
      </c>
      <c r="I16" s="34" t="b">
        <v>0</v>
      </c>
    </row>
    <row r="17" spans="3:9" ht="15.75">
      <c r="C17" s="16"/>
      <c r="D17" s="10" t="s">
        <v>321</v>
      </c>
      <c r="E17" s="16">
        <v>-2</v>
      </c>
      <c r="G17" s="47">
        <f>IF(I17=TRUE,E17,"")</f>
      </c>
      <c r="I17" s="34" t="b">
        <v>0</v>
      </c>
    </row>
    <row r="18" spans="3:9" ht="15.75">
      <c r="C18" s="16"/>
      <c r="D18" s="10"/>
      <c r="E18" s="16"/>
      <c r="I18" s="34"/>
    </row>
    <row r="19" spans="3:9" ht="15.75">
      <c r="C19" s="50" t="s">
        <v>322</v>
      </c>
      <c r="D19" s="10"/>
      <c r="E19" s="16"/>
      <c r="I19" s="34"/>
    </row>
    <row r="20" spans="3:9" ht="15.75">
      <c r="C20" s="16"/>
      <c r="D20" s="10" t="s">
        <v>323</v>
      </c>
      <c r="E20" s="16">
        <v>-4</v>
      </c>
      <c r="G20" s="47">
        <f>IF(I20=TRUE,E20,"")</f>
      </c>
      <c r="I20" s="34" t="b">
        <v>0</v>
      </c>
    </row>
    <row r="21" spans="3:9" ht="15.75">
      <c r="C21" s="16"/>
      <c r="D21" s="10" t="s">
        <v>324</v>
      </c>
      <c r="E21" s="16" t="s">
        <v>56</v>
      </c>
      <c r="G21" s="47">
        <f>IF(I21=TRUE,E21,"")</f>
      </c>
      <c r="I21" s="34" t="b">
        <v>0</v>
      </c>
    </row>
    <row r="22" spans="3:9" ht="15.75">
      <c r="C22" s="16"/>
      <c r="D22" s="10" t="s">
        <v>325</v>
      </c>
      <c r="E22" s="16">
        <v>-4</v>
      </c>
      <c r="G22" s="47">
        <f>IF(I22=TRUE,E22,"")</f>
      </c>
      <c r="I22" s="34" t="b">
        <v>0</v>
      </c>
    </row>
    <row r="23" spans="3:9" ht="15.75">
      <c r="C23" s="16"/>
      <c r="D23" s="10" t="s">
        <v>326</v>
      </c>
      <c r="E23" s="16" t="s">
        <v>56</v>
      </c>
      <c r="G23" s="47">
        <f>IF(I23=TRUE,E23,"")</f>
      </c>
      <c r="I23" s="34" t="b">
        <v>0</v>
      </c>
    </row>
    <row r="24" spans="3:9" ht="15.75">
      <c r="C24" s="16"/>
      <c r="D24" s="10" t="s">
        <v>334</v>
      </c>
      <c r="E24" s="16">
        <v>-2</v>
      </c>
      <c r="G24" s="47">
        <f>IF(AND(OR(ISNUMBER(C3),ISNUMBER(E3)),I24=TRUE),E24,"")</f>
      </c>
      <c r="I24" s="34" t="b">
        <v>0</v>
      </c>
    </row>
    <row r="25" spans="3:9" ht="15.75">
      <c r="C25" s="16"/>
      <c r="D25" s="10" t="s">
        <v>327</v>
      </c>
      <c r="E25" s="16" t="s">
        <v>56</v>
      </c>
      <c r="G25" s="47">
        <f>IF(I25=TRUE,E25,"")</f>
      </c>
      <c r="I25" s="34" t="b">
        <v>0</v>
      </c>
    </row>
    <row r="26" spans="3:9" ht="15.75">
      <c r="C26" s="16"/>
      <c r="D26" s="10" t="s">
        <v>328</v>
      </c>
      <c r="E26" s="16" t="s">
        <v>56</v>
      </c>
      <c r="G26" s="47">
        <f>IF(I26=TRUE,E26,"")</f>
      </c>
      <c r="I26" s="34" t="b">
        <v>0</v>
      </c>
    </row>
    <row r="27" spans="3:9" ht="15.75">
      <c r="C27" s="16"/>
      <c r="D27" s="10" t="s">
        <v>329</v>
      </c>
      <c r="E27" s="16">
        <v>-4</v>
      </c>
      <c r="G27" s="47">
        <f>IF(I27=TRUE,E27,"")</f>
      </c>
      <c r="I27" s="34" t="b">
        <v>0</v>
      </c>
    </row>
    <row r="28" spans="3:9" ht="15.75">
      <c r="C28" s="16"/>
      <c r="D28" s="10"/>
      <c r="E28" s="16"/>
      <c r="I28" s="34"/>
    </row>
    <row r="29" spans="3:9" ht="15.75">
      <c r="C29" s="50" t="s">
        <v>330</v>
      </c>
      <c r="D29" s="10"/>
      <c r="E29" s="16"/>
      <c r="I29" s="34"/>
    </row>
    <row r="30" spans="3:9" ht="15.75">
      <c r="C30" s="16"/>
      <c r="D30" s="10" t="s">
        <v>331</v>
      </c>
      <c r="E30" s="16">
        <v>-2</v>
      </c>
      <c r="G30" s="47">
        <f>IF(I30=TRUE,E30,"")</f>
      </c>
      <c r="I30" s="34" t="b">
        <v>0</v>
      </c>
    </row>
    <row r="31" spans="3:9" ht="15.75">
      <c r="C31" s="16"/>
      <c r="D31" s="10" t="s">
        <v>332</v>
      </c>
      <c r="E31" s="16">
        <v>-2</v>
      </c>
      <c r="G31" s="47">
        <f>IF(I31=TRUE,E31,"")</f>
      </c>
      <c r="I31" s="34" t="b">
        <v>0</v>
      </c>
    </row>
    <row r="32" spans="3:9" ht="15.75">
      <c r="C32" s="16"/>
      <c r="D32" s="10" t="s">
        <v>335</v>
      </c>
      <c r="E32" s="16">
        <v>1</v>
      </c>
      <c r="G32" s="47">
        <f>IF(AND(ISNUMBER(C3),I32=TRUE),E32,"")</f>
      </c>
      <c r="I32" s="34" t="b">
        <v>0</v>
      </c>
    </row>
    <row r="33" spans="4:10" ht="15.75">
      <c r="D33" s="10" t="s">
        <v>244</v>
      </c>
      <c r="E33" s="16">
        <f>IF(ISNUMBER('19'!C5),'19'!C5,0)</f>
        <v>0</v>
      </c>
      <c r="G33" s="47">
        <f>IF(ISNUMBER('19'!C5),'19'!C5,"")</f>
      </c>
      <c r="I33" s="27">
        <f>IF(ISNUMBER(G33),"(value from Step [19])","")</f>
      </c>
      <c r="J33" s="34" t="b">
        <f>IF(ISNUMBER(G33),TRUE,FALSE)</f>
        <v>0</v>
      </c>
    </row>
    <row r="34" spans="4:9" ht="15.75">
      <c r="D34" s="10" t="s">
        <v>333</v>
      </c>
      <c r="E34" s="16">
        <v>-1</v>
      </c>
      <c r="G34" s="47">
        <f>IF(I34=TRUE,E34,"")</f>
      </c>
      <c r="I34" s="34" t="b">
        <v>0</v>
      </c>
    </row>
    <row r="35" spans="4:9" ht="15.75">
      <c r="D35" s="10" t="s">
        <v>337</v>
      </c>
      <c r="E35" s="16">
        <v>-2</v>
      </c>
      <c r="G35" s="47">
        <f>IF(AND(ISNUMBER(D3),I35=TRUE),E35,"")</f>
      </c>
      <c r="I35" s="34" t="b">
        <v>0</v>
      </c>
    </row>
    <row r="36" spans="4:9" ht="15.75">
      <c r="D36" s="10" t="s">
        <v>336</v>
      </c>
      <c r="E36" s="16">
        <v>-4</v>
      </c>
      <c r="G36" s="47">
        <f>IF(AND(ISNUMBER(E3),I36=TRUE),E36,"")</f>
      </c>
      <c r="I36" s="34" t="b">
        <v>0</v>
      </c>
    </row>
    <row r="37" spans="4:9" ht="15.75">
      <c r="D37" s="10" t="s">
        <v>339</v>
      </c>
      <c r="E37" s="16">
        <v>-1</v>
      </c>
      <c r="G37" s="47">
        <f>IF(AND(ISNUMBER(D3),I37=TRUE),E37,"")</f>
      </c>
      <c r="I37" s="34" t="b">
        <v>0</v>
      </c>
    </row>
    <row r="38" spans="4:9" ht="15.75">
      <c r="D38" s="10" t="s">
        <v>338</v>
      </c>
      <c r="E38" s="16">
        <v>-2</v>
      </c>
      <c r="G38" s="47">
        <f>IF(AND(ISNUMBER(E3),I38=TRUE),E38,"")</f>
      </c>
      <c r="I38" s="34" t="b">
        <v>0</v>
      </c>
    </row>
    <row r="39" spans="4:9" ht="15.75">
      <c r="D39" s="10" t="s">
        <v>340</v>
      </c>
      <c r="E39" s="16" t="s">
        <v>56</v>
      </c>
      <c r="G39" s="47">
        <f>IF(I39=TRUE,E39,"")</f>
      </c>
      <c r="I39" s="34" t="b">
        <v>0</v>
      </c>
    </row>
    <row r="40" spans="4:9" ht="15.75">
      <c r="D40" s="10" t="s">
        <v>341</v>
      </c>
      <c r="E40" s="16">
        <v>-1</v>
      </c>
      <c r="G40" s="47">
        <f>IF(AND(ISNUMBER(E3),I40=TRUE),E40,"")</f>
      </c>
      <c r="I40" s="34" t="b">
        <v>0</v>
      </c>
    </row>
    <row r="41" spans="4:9" ht="15.75">
      <c r="D41" s="10" t="s">
        <v>342</v>
      </c>
      <c r="E41" s="16">
        <v>-2</v>
      </c>
      <c r="G41" s="47">
        <f>IF(AND(ISNUMBER(E3),I41=TRUE),E41,"")</f>
      </c>
      <c r="I41" s="34" t="b">
        <v>0</v>
      </c>
    </row>
    <row r="42" spans="4:9" ht="15.75">
      <c r="D42" s="10"/>
      <c r="E42" s="16"/>
      <c r="I42" s="34"/>
    </row>
    <row r="43" spans="3:9" ht="15.75">
      <c r="C43" s="50" t="s">
        <v>343</v>
      </c>
      <c r="D43" s="10"/>
      <c r="E43" s="16"/>
      <c r="I43" s="34"/>
    </row>
    <row r="44" spans="4:9" ht="15.75">
      <c r="D44" s="10" t="s">
        <v>344</v>
      </c>
      <c r="E44" s="16">
        <v>2</v>
      </c>
      <c r="G44" s="47">
        <f>IF(AND(ISNUMBER(C3),I44=TRUE),E44,"")</f>
      </c>
      <c r="I44" s="34" t="b">
        <v>0</v>
      </c>
    </row>
    <row r="45" spans="4:9" ht="15.75">
      <c r="D45" s="10" t="s">
        <v>345</v>
      </c>
      <c r="E45" s="16">
        <v>-2</v>
      </c>
      <c r="G45" s="47">
        <f>IF(AND(ISNUMBER(C3),I45=TRUE),E45,"")</f>
      </c>
      <c r="I45" s="34" t="b">
        <v>0</v>
      </c>
    </row>
    <row r="46" spans="4:9" ht="15.75">
      <c r="D46" s="10" t="s">
        <v>346</v>
      </c>
      <c r="E46" s="16">
        <v>3</v>
      </c>
      <c r="G46" s="47">
        <f>IF(AND(ISNUMBER(C3),I46=TRUE),E46,"")</f>
      </c>
      <c r="I46" s="34" t="b">
        <v>0</v>
      </c>
    </row>
    <row r="47" spans="4:9" ht="15.75">
      <c r="D47" s="10" t="s">
        <v>347</v>
      </c>
      <c r="E47" s="16">
        <v>2</v>
      </c>
      <c r="G47" s="47">
        <f>IF(I47=TRUE,E47,"")</f>
      </c>
      <c r="I47" s="34" t="b">
        <v>0</v>
      </c>
    </row>
    <row r="48" spans="4:9" ht="15.75">
      <c r="D48" s="10" t="s">
        <v>348</v>
      </c>
      <c r="E48" s="16" t="s">
        <v>56</v>
      </c>
      <c r="G48" s="47">
        <f>IF(AND(ISNUMBER(E3),I48=TRUE),E48,"")</f>
      </c>
      <c r="I48" s="34" t="b">
        <v>0</v>
      </c>
    </row>
    <row r="49" spans="4:9" ht="15.75">
      <c r="D49" s="10" t="s">
        <v>355</v>
      </c>
      <c r="E49" s="16">
        <v>-2</v>
      </c>
      <c r="G49" s="47">
        <f>IF(AND(ISNUMBER(E3),I49=TRUE),E49,"")</f>
      </c>
      <c r="I49" s="34" t="b">
        <v>0</v>
      </c>
    </row>
    <row r="50" spans="4:9" ht="15.75">
      <c r="D50" s="10" t="s">
        <v>349</v>
      </c>
      <c r="E50" s="16">
        <v>3</v>
      </c>
      <c r="G50" s="47">
        <f>IF(AND(ISNUMBER(C3),I50=TRUE),E50,"")</f>
      </c>
      <c r="I50" s="34" t="b">
        <v>0</v>
      </c>
    </row>
    <row r="51" spans="4:9" ht="15.75">
      <c r="D51" s="10" t="s">
        <v>350</v>
      </c>
      <c r="E51" s="16">
        <v>1</v>
      </c>
      <c r="G51" s="47">
        <f>IF(AND(ISNUMBER(D3),I51=TRUE),E51,"")</f>
      </c>
      <c r="I51" s="34" t="b">
        <v>0</v>
      </c>
    </row>
    <row r="52" spans="4:9" ht="15.75">
      <c r="D52" s="10" t="s">
        <v>351</v>
      </c>
      <c r="E52" s="16">
        <v>3</v>
      </c>
      <c r="G52" s="47">
        <f>IF(AND(ISNUMBER(E3),I52=TRUE),E52,"")</f>
      </c>
      <c r="I52" s="34" t="b">
        <v>0</v>
      </c>
    </row>
    <row r="53" spans="4:9" ht="15.75">
      <c r="D53" s="10" t="s">
        <v>352</v>
      </c>
      <c r="E53" s="16">
        <v>1</v>
      </c>
      <c r="G53" s="47">
        <f>IF(AND(ISNUMBER(E3),I53=TRUE),E53,"")</f>
      </c>
      <c r="I53" s="34" t="b">
        <v>0</v>
      </c>
    </row>
    <row r="54" spans="4:7" ht="15.75">
      <c r="D54" s="10"/>
      <c r="E54" s="16"/>
      <c r="G54" s="41">
        <f>SUM(G6:G53)</f>
        <v>0</v>
      </c>
    </row>
    <row r="55" spans="4:5" ht="15.75">
      <c r="D55" s="10"/>
      <c r="E55" s="16"/>
    </row>
    <row r="56" spans="4:5" ht="15.75">
      <c r="D56" s="10"/>
      <c r="E56" s="16"/>
    </row>
    <row r="57" spans="4:5" ht="15.75">
      <c r="D57" s="10"/>
      <c r="E57" s="16"/>
    </row>
    <row r="58" spans="4:5" ht="15.75">
      <c r="D58" s="10"/>
      <c r="E58" s="16"/>
    </row>
    <row r="59" ht="15.75">
      <c r="E59" s="16"/>
    </row>
    <row r="60" ht="15.75">
      <c r="E60" s="16"/>
    </row>
    <row r="61" ht="15.75">
      <c r="E61" s="16"/>
    </row>
  </sheetData>
  <mergeCells count="1">
    <mergeCell ref="C2:E2"/>
  </mergeCells>
  <dataValidations count="9">
    <dataValidation type="list" allowBlank="1" showInputMessage="1" showErrorMessage="1" sqref="E3">
      <formula1>"Parry,3,4,5,6,7,8,9,10,11,12,13,14,15,16,17,18,19,20"</formula1>
    </dataValidation>
    <dataValidation type="list" allowBlank="1" showInputMessage="1" showErrorMessage="1" sqref="E9">
      <formula1>"choose,1,2,3"</formula1>
    </dataValidation>
    <dataValidation type="list" allowBlank="1" showInputMessage="1" showErrorMessage="1" sqref="E21 E23:E24">
      <formula1>"choose,-1,-2,-3,-4"</formula1>
    </dataValidation>
    <dataValidation type="list" allowBlank="1" showInputMessage="1" showErrorMessage="1" sqref="E25">
      <formula1>"choose,-1,-2,-3,-4,-5,-6,-7,-8,-9"</formula1>
    </dataValidation>
    <dataValidation type="list" allowBlank="1" showInputMessage="1" showErrorMessage="1" sqref="E26">
      <formula1>"choose,1,2,3,-1,-2,-3"</formula1>
    </dataValidation>
    <dataValidation type="list" allowBlank="1" showInputMessage="1" showErrorMessage="1" sqref="E39">
      <formula1>"choose,-1,-2,-3,-4,-5,-6,-7,-8,-9,-10,-11,-12,-13,-14,-15,-16"</formula1>
    </dataValidation>
    <dataValidation type="list" allowBlank="1" showInputMessage="1" showErrorMessage="1" sqref="E48">
      <formula1>"choose,-2,-4,-6,-8,-10,-12,-14,-16,-18,-20"</formula1>
    </dataValidation>
    <dataValidation type="list" allowBlank="1" showInputMessage="1" showErrorMessage="1" sqref="C3">
      <formula1>"Dodge,3,4,5,6,7,8,9,10,11,12,13,14,15,16,17,18,19,20"</formula1>
    </dataValidation>
    <dataValidation type="list" allowBlank="1" showInputMessage="1" showErrorMessage="1" sqref="D3">
      <formula1>"Block,3,4,5,6,7,8,9,10,11,12,13,14,15,16,17,18,19,20"</formula1>
    </dataValidation>
  </dataValidations>
  <hyperlinks>
    <hyperlink ref="G2" location="'26'!A1" display="[26]"/>
  </hyperlinks>
  <printOptions/>
  <pageMargins left="0.75" right="0.75" top="1" bottom="1" header="0.5" footer="0.5"/>
  <pageSetup horizontalDpi="300" verticalDpi="300" orientation="portrait" r:id="rId3"/>
  <ignoredErrors>
    <ignoredError sqref="G9 G24 G32" formula="1"/>
  </ignoredErrors>
  <legacyDrawing r:id="rId2"/>
</worksheet>
</file>

<file path=xl/worksheets/sheet27.xml><?xml version="1.0" encoding="utf-8"?>
<worksheet xmlns="http://schemas.openxmlformats.org/spreadsheetml/2006/main" xmlns:r="http://schemas.openxmlformats.org/officeDocument/2006/relationships">
  <sheetPr codeName="Sheet34"/>
  <dimension ref="A1:K20"/>
  <sheetViews>
    <sheetView workbookViewId="0" topLeftCell="A1">
      <selection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31.5" customHeight="1">
      <c r="A2" s="9" t="s">
        <v>360</v>
      </c>
      <c r="B2" s="9"/>
      <c r="C2" s="129" t="s">
        <v>364</v>
      </c>
      <c r="D2" s="140"/>
      <c r="E2" s="141"/>
      <c r="F2" s="35"/>
      <c r="G2" s="33" t="s">
        <v>362</v>
      </c>
      <c r="I2" s="82">
        <f>IF(C13="Target rolled a critical success on his Active Defense. Go to [27].","t","")</f>
      </c>
      <c r="J2" s="53"/>
    </row>
    <row r="3" spans="1:10" ht="15.75" customHeight="1">
      <c r="A3" s="9"/>
      <c r="B3" s="9"/>
      <c r="C3" s="149" t="s">
        <v>368</v>
      </c>
      <c r="D3" s="130"/>
      <c r="E3" s="131"/>
      <c r="F3" s="35"/>
      <c r="G3" s="33" t="s">
        <v>278</v>
      </c>
      <c r="I3" s="82">
        <f>IF(C13="Target successfully Dodged. Go to [23].","t","")</f>
      </c>
      <c r="J3" s="53"/>
    </row>
    <row r="4" spans="1:10" ht="15.75" customHeight="1">
      <c r="A4" s="9"/>
      <c r="B4" s="9"/>
      <c r="C4" s="129" t="s">
        <v>21</v>
      </c>
      <c r="D4" s="130"/>
      <c r="E4" s="131"/>
      <c r="F4" s="35"/>
      <c r="G4" s="33" t="s">
        <v>18</v>
      </c>
      <c r="I4" s="82">
        <f>IF(C13="Target successfully Blocked/Parried. Go to [48].","t","")</f>
      </c>
      <c r="J4" s="53"/>
    </row>
    <row r="5" spans="1:10" ht="15.75" customHeight="1">
      <c r="A5" s="9"/>
      <c r="B5" s="9"/>
      <c r="C5" s="129" t="s">
        <v>369</v>
      </c>
      <c r="D5" s="130"/>
      <c r="E5" s="131"/>
      <c r="F5" s="35"/>
      <c r="G5" s="33" t="s">
        <v>365</v>
      </c>
      <c r="I5" s="82">
        <f>IF(C13="Target rolled a critical failure on his Active Defense. Go to [28].","t","")</f>
      </c>
      <c r="J5" s="53"/>
    </row>
    <row r="6" spans="1:10" ht="15.75" customHeight="1">
      <c r="A6" s="9"/>
      <c r="B6" s="9"/>
      <c r="C6" s="129" t="s">
        <v>370</v>
      </c>
      <c r="D6" s="130"/>
      <c r="E6" s="131"/>
      <c r="F6" s="35"/>
      <c r="G6" s="33" t="s">
        <v>366</v>
      </c>
      <c r="I6" s="82">
        <f>IF(C13="Target failed his Active Defense roll. Go to [29].","t","")</f>
      </c>
      <c r="J6" s="53"/>
    </row>
    <row r="7" spans="3:10" ht="15.75">
      <c r="C7" s="16"/>
      <c r="D7" s="16"/>
      <c r="E7" s="10" t="str">
        <f>'25'!E4</f>
        <v>Active Defense:</v>
      </c>
      <c r="G7" s="72">
        <f>'25'!G4</f>
      </c>
      <c r="I7" s="10" t="str">
        <f>'25'!I4</f>
        <v>Effective Active Defense:</v>
      </c>
      <c r="J7" s="72">
        <f>'25'!J4</f>
      </c>
    </row>
    <row r="8" spans="4:7" ht="15.75">
      <c r="D8" s="10"/>
      <c r="E8" s="16"/>
      <c r="G8" s="41">
        <f>IF(G9="choose",0,G9)</f>
        <v>0</v>
      </c>
    </row>
    <row r="9" spans="4:11" ht="15.75">
      <c r="D9" s="10"/>
      <c r="E9" s="10" t="s">
        <v>274</v>
      </c>
      <c r="G9" s="47" t="s">
        <v>56</v>
      </c>
      <c r="I9" s="53" t="str">
        <f>IF(OR(G11=3,G11=4),"Crit Hit","Not Crit Hit")</f>
        <v>Not Crit Hit</v>
      </c>
      <c r="J9" s="41" t="s">
        <v>361</v>
      </c>
      <c r="K9" s="41" t="str">
        <f>IF(OR(I9="Crit Hit",I10="Crit Hit",I11="Crit Hit"),"Crit Hit","-")</f>
        <v>-</v>
      </c>
    </row>
    <row r="10" spans="4:11" ht="15.75">
      <c r="D10" s="10" t="s">
        <v>385</v>
      </c>
      <c r="G10" s="47"/>
      <c r="I10" s="60" t="str">
        <f>IF(AND(J7&gt;14,G11=5),"Crit Hit","Not Crit Hit")</f>
        <v>Not Crit Hit</v>
      </c>
      <c r="J10" s="41">
        <v>5</v>
      </c>
      <c r="K10" s="34"/>
    </row>
    <row r="11" spans="4:11" ht="15.75">
      <c r="D11" s="10"/>
      <c r="E11" s="41"/>
      <c r="G11" s="41">
        <f>IF(AND(G9="choose",ISNUMBER(G10)),G10,G8)</f>
        <v>0</v>
      </c>
      <c r="I11" s="41" t="str">
        <f>IF(AND(J7&gt;15,G11=6),"Crit Hit","Not Crit Hit")</f>
        <v>Not Crit Hit</v>
      </c>
      <c r="J11" s="41">
        <v>6</v>
      </c>
      <c r="K11" s="34"/>
    </row>
    <row r="12" spans="3:11" ht="15.75">
      <c r="C12" s="74" t="s">
        <v>282</v>
      </c>
      <c r="E12" s="16"/>
      <c r="I12" s="41" t="str">
        <f>IF(G11=18,"Crit Miss","Not Crit Miss")</f>
        <v>Not Crit Miss</v>
      </c>
      <c r="J12" s="41">
        <v>18</v>
      </c>
      <c r="K12" s="41" t="str">
        <f>IF(OR(I12="Crit Miss",I13="Crit Miss"),"Crit Miss","-")</f>
        <v>-</v>
      </c>
    </row>
    <row r="13" spans="3:11" ht="15.75">
      <c r="C13" s="55">
        <f>IF(K9="Crit Hit","Target rolled a critical success on his Active Defense. Go to [27].",IF(K12="Crit Miss","Target rolled a critical failure on his Active Defense. Go to [28].",IF(G11=0,"",K14)))</f>
      </c>
      <c r="G13" s="41">
        <f ca="1">(ROUND(RAND()*(6-1)+1,0))+(ROUND(RAND()*(6-1)+1,0))+(ROUND(RAND()*(6-1)+1,0))</f>
        <v>16</v>
      </c>
      <c r="I13" s="41" t="str">
        <f>IF(AND(J7&lt;16,G11&gt;16),"Crit Miss","Not Crit Miss")</f>
        <v>Not Crit Miss</v>
      </c>
      <c r="J13" s="41">
        <v>17</v>
      </c>
      <c r="K13" s="34"/>
    </row>
    <row r="14" spans="5:11" ht="15.75">
      <c r="E14" s="16"/>
      <c r="I14" s="10"/>
      <c r="J14" s="16"/>
      <c r="K14" s="68" t="str">
        <f>IF(AND(ISNUMBER('25'!C3),G11&lt;=J7),"Target successfully Dodged. Go to [23].",IF(AND('25'!C3="Dodge",G11&lt;=J7),"Target successfully Blocked/Parried. Go to [48].","Target failed his Active Defense roll. Go to [29]."))</f>
        <v>Target successfully Blocked/Parried. Go to [48].</v>
      </c>
    </row>
    <row r="15" ht="15.75">
      <c r="E15" s="10"/>
    </row>
    <row r="16" ht="15.75">
      <c r="E16" s="59"/>
    </row>
    <row r="18" spans="4:7" ht="15.75">
      <c r="D18" s="10">
        <f>IF(AND(C13="Target successfully Dodged. Go to [23].",ISNUMBER('21'!E15)),"Total Number of Attacks (from [21]):","")</f>
      </c>
      <c r="E18" s="16">
        <f>IF(D18="Total Number of Attacks (from [21]):",G18,"")</f>
      </c>
      <c r="G18" s="41">
        <f>IF(ISNUMBER('21'!E15),'21'!E15+1,"")</f>
      </c>
    </row>
    <row r="19" spans="4:7" ht="15.75">
      <c r="D19" s="10">
        <f>IF(AND(C13="Target successfully Dodged. Go to [23].",ISNUMBER('21'!E15)),"Total Number of Successful Dodges:","")</f>
      </c>
      <c r="E19" s="16">
        <f>IF(D19="Total Number of Successful Dodges:",G19,"")</f>
      </c>
      <c r="G19" s="41">
        <f>IF(ISNUMBER('21'!E15),(J7-G8)+1,"")</f>
      </c>
    </row>
    <row r="20" spans="4:7" ht="15.75">
      <c r="D20" s="10">
        <f>IF(AND(C13="Target successfully Dodged. Go to [23].",ISNUMBER('21'!E15)),"Total Number of Attacks Not Dodged:","")</f>
      </c>
      <c r="E20" s="16">
        <f>IF(D20="Total Number of Attacks Not Dodged:",G20,"")</f>
      </c>
      <c r="G20" s="41">
        <f>IF(ISNUMBER(G18-G19),G18-G19,"")</f>
      </c>
    </row>
  </sheetData>
  <mergeCells count="5">
    <mergeCell ref="C6:E6"/>
    <mergeCell ref="C2:E2"/>
    <mergeCell ref="C3:E3"/>
    <mergeCell ref="C4:E4"/>
    <mergeCell ref="C5:E5"/>
  </mergeCells>
  <dataValidations count="1">
    <dataValidation type="list" allowBlank="1" showInputMessage="1" showErrorMessage="1" sqref="G9">
      <formula1>"choose,3,4,5,6,7,8,9,10,11,12,13,14,15,16,17,18"</formula1>
    </dataValidation>
  </dataValidations>
  <hyperlinks>
    <hyperlink ref="G2" location="'27'!A1" display="[27]"/>
    <hyperlink ref="G3" location="'23'!A1" display="[23]"/>
    <hyperlink ref="G4" location="'48'!A1" display="[48]"/>
    <hyperlink ref="G5" location="'28'!A1" display="[28]"/>
    <hyperlink ref="G6" location="'29'!A1" display="[29]"/>
  </hyperlinks>
  <printOptions/>
  <pageMargins left="0.75" right="0.75" top="1" bottom="1" header="0.5" footer="0.5"/>
  <pageSetup horizontalDpi="300" verticalDpi="300" orientation="portrait" r:id="rId2"/>
  <drawing r:id="rId1"/>
</worksheet>
</file>

<file path=xl/worksheets/sheet28.xml><?xml version="1.0" encoding="utf-8"?>
<worksheet xmlns="http://schemas.openxmlformats.org/spreadsheetml/2006/main" xmlns:r="http://schemas.openxmlformats.org/officeDocument/2006/relationships">
  <sheetPr codeName="Sheet35"/>
  <dimension ref="A1:K43"/>
  <sheetViews>
    <sheetView workbookViewId="0" topLeftCell="A1">
      <selection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47.25" customHeight="1">
      <c r="A2" s="9" t="s">
        <v>362</v>
      </c>
      <c r="B2" s="9"/>
      <c r="C2" s="129" t="s">
        <v>363</v>
      </c>
      <c r="D2" s="140"/>
      <c r="E2" s="141"/>
      <c r="F2" s="35"/>
      <c r="G2" s="33" t="s">
        <v>277</v>
      </c>
      <c r="I2" s="22"/>
      <c r="J2" s="53"/>
    </row>
    <row r="3" spans="1:10" ht="15.75" customHeight="1">
      <c r="A3" s="9"/>
      <c r="B3" s="9"/>
      <c r="C3" s="129" t="s">
        <v>371</v>
      </c>
      <c r="D3" s="130"/>
      <c r="E3" s="131"/>
      <c r="F3" s="35"/>
      <c r="G3" s="33" t="s">
        <v>278</v>
      </c>
      <c r="I3" s="22"/>
      <c r="J3" s="53"/>
    </row>
    <row r="4" spans="1:10" ht="47.25" customHeight="1">
      <c r="A4" s="9"/>
      <c r="B4" s="9"/>
      <c r="C4" s="129" t="s">
        <v>22</v>
      </c>
      <c r="D4" s="130"/>
      <c r="E4" s="131"/>
      <c r="F4" s="35"/>
      <c r="G4" s="33" t="s">
        <v>18</v>
      </c>
      <c r="I4" s="22"/>
      <c r="J4" s="53"/>
    </row>
    <row r="5" spans="1:10" ht="15.75" customHeight="1">
      <c r="A5" s="9"/>
      <c r="B5" s="9"/>
      <c r="C5" s="129" t="s">
        <v>23</v>
      </c>
      <c r="D5" s="130"/>
      <c r="E5" s="131"/>
      <c r="F5" s="35"/>
      <c r="G5" s="33" t="s">
        <v>18</v>
      </c>
      <c r="I5" s="22"/>
      <c r="J5" s="53"/>
    </row>
    <row r="6" spans="1:10" ht="15.75">
      <c r="A6" s="9"/>
      <c r="B6" s="9"/>
      <c r="C6" s="9"/>
      <c r="E6" s="10" t="str">
        <f>IF('26'!E7="Dodge:","Dodge Roll:",IF('26'!E7="Block:","Block Roll:",IF('26'!E7="Parry:","Parry Roll:","Active Defense Roll:")))</f>
        <v>Active Defense Roll:</v>
      </c>
      <c r="G6" s="72">
        <f>IF('26'!G11=0,"",'26'!G11)</f>
      </c>
      <c r="I6" s="10" t="str">
        <f>'25'!I4</f>
        <v>Effective Active Defense:</v>
      </c>
      <c r="J6" s="72">
        <f>'25'!J4</f>
      </c>
    </row>
    <row r="7" spans="3:4" ht="15.75">
      <c r="C7" s="16"/>
      <c r="D7" s="16"/>
    </row>
    <row r="8" spans="3:5" ht="15.75">
      <c r="C8" s="16"/>
      <c r="D8" s="16"/>
      <c r="E8" s="16"/>
    </row>
    <row r="9" spans="3:5" ht="15.75">
      <c r="C9" s="16"/>
      <c r="D9" s="16"/>
      <c r="E9" s="16"/>
    </row>
    <row r="10" spans="3:5" ht="15.75">
      <c r="C10" s="16"/>
      <c r="D10" s="16"/>
      <c r="E10" s="16"/>
    </row>
    <row r="11" spans="3:5" ht="15.75">
      <c r="C11" s="16"/>
      <c r="D11" s="16"/>
      <c r="E11" s="16"/>
    </row>
    <row r="12" spans="3:5" ht="15.75">
      <c r="C12" s="16"/>
      <c r="D12" s="16"/>
      <c r="E12" s="16"/>
    </row>
    <row r="13" spans="3:5" ht="15.75">
      <c r="C13" s="16"/>
      <c r="D13" s="16"/>
      <c r="E13" s="16"/>
    </row>
    <row r="14" spans="3:5" ht="15.75">
      <c r="C14" s="16"/>
      <c r="D14" s="16"/>
      <c r="E14" s="16"/>
    </row>
    <row r="15" spans="3:5" ht="15.75">
      <c r="C15" s="16"/>
      <c r="D15" s="16"/>
      <c r="E15" s="16"/>
    </row>
    <row r="16" spans="3:5" ht="15.75">
      <c r="C16" s="16"/>
      <c r="D16" s="16"/>
      <c r="E16" s="16"/>
    </row>
    <row r="17" spans="3:5" ht="15.75">
      <c r="C17" s="16"/>
      <c r="D17" s="16"/>
      <c r="E17" s="16"/>
    </row>
    <row r="18" spans="3:5" ht="15.75">
      <c r="C18" s="16"/>
      <c r="D18" s="16"/>
      <c r="E18" s="16"/>
    </row>
    <row r="19" spans="3:5" ht="15.75">
      <c r="C19" s="16"/>
      <c r="D19" s="16"/>
      <c r="E19" s="16"/>
    </row>
    <row r="20" spans="3:5" ht="15.75">
      <c r="C20" s="16"/>
      <c r="D20" s="16"/>
      <c r="E20" s="16"/>
    </row>
    <row r="21" spans="3:5" ht="15.75">
      <c r="C21" s="16"/>
      <c r="D21" s="16"/>
      <c r="E21" s="16"/>
    </row>
    <row r="22" spans="3:5" ht="15.75">
      <c r="C22" s="16"/>
      <c r="D22" s="16"/>
      <c r="E22" s="16"/>
    </row>
    <row r="23" spans="3:5" ht="15.75">
      <c r="C23" s="16"/>
      <c r="D23" s="16"/>
      <c r="E23" s="16"/>
    </row>
    <row r="24" spans="3:5" ht="15.75">
      <c r="C24" s="16"/>
      <c r="D24" s="16"/>
      <c r="E24" s="16"/>
    </row>
    <row r="25" spans="3:5" ht="15.75">
      <c r="C25" s="16"/>
      <c r="D25" s="16"/>
      <c r="E25" s="16"/>
    </row>
    <row r="26" spans="3:5" ht="15.75">
      <c r="C26" s="16"/>
      <c r="D26" s="16"/>
      <c r="E26" s="16"/>
    </row>
    <row r="27" spans="3:5" ht="15.75">
      <c r="C27" s="16"/>
      <c r="D27" s="16"/>
      <c r="E27" s="16"/>
    </row>
    <row r="28" spans="3:5" ht="15.75">
      <c r="C28" s="16"/>
      <c r="D28" s="16"/>
      <c r="E28" s="16"/>
    </row>
    <row r="29" spans="3:5" ht="15.75">
      <c r="C29" s="16"/>
      <c r="D29" s="16"/>
      <c r="E29" s="16"/>
    </row>
    <row r="30" spans="3:5" ht="15.75">
      <c r="C30" s="16"/>
      <c r="D30" s="16"/>
      <c r="E30" s="16"/>
    </row>
    <row r="31" spans="3:5" ht="15.75">
      <c r="C31" s="16"/>
      <c r="D31" s="16"/>
      <c r="E31" s="16"/>
    </row>
    <row r="32" spans="3:5" ht="15.75">
      <c r="C32" s="16"/>
      <c r="D32" s="16"/>
      <c r="E32" s="16"/>
    </row>
    <row r="33" spans="3:5" ht="15.75">
      <c r="C33" s="16"/>
      <c r="D33" s="16"/>
      <c r="E33" s="16"/>
    </row>
    <row r="34" spans="3:5" ht="15.75">
      <c r="C34" s="16"/>
      <c r="D34" s="16"/>
      <c r="E34" s="16"/>
    </row>
    <row r="35" spans="3:5" ht="15.75">
      <c r="C35" s="16"/>
      <c r="D35" s="16"/>
      <c r="E35" s="16"/>
    </row>
    <row r="36" spans="3:5" ht="15.75">
      <c r="C36" s="16"/>
      <c r="D36" s="16"/>
      <c r="E36" s="16"/>
    </row>
    <row r="37" spans="3:5" ht="15.75">
      <c r="C37" s="16"/>
      <c r="D37" s="16"/>
      <c r="E37" s="16"/>
    </row>
    <row r="38" spans="3:5" ht="15.75">
      <c r="C38" s="16"/>
      <c r="D38" s="16"/>
      <c r="E38" s="16"/>
    </row>
    <row r="39" spans="3:5" ht="15.75">
      <c r="C39" s="16"/>
      <c r="D39" s="16"/>
      <c r="E39" s="16"/>
    </row>
    <row r="40" spans="3:5" ht="15.75">
      <c r="C40" s="16"/>
      <c r="D40" s="16"/>
      <c r="E40" s="16"/>
    </row>
    <row r="41" spans="3:5" ht="15.75">
      <c r="C41" s="16"/>
      <c r="D41" s="16"/>
      <c r="E41" s="16"/>
    </row>
    <row r="42" spans="3:5" ht="15.75">
      <c r="C42" s="16"/>
      <c r="D42" s="16"/>
      <c r="E42" s="16"/>
    </row>
    <row r="43" spans="3:5" ht="15.75">
      <c r="C43" s="16"/>
      <c r="D43" s="16"/>
      <c r="E43" s="16"/>
    </row>
  </sheetData>
  <mergeCells count="4">
    <mergeCell ref="C2:E2"/>
    <mergeCell ref="C3:E3"/>
    <mergeCell ref="C4:E4"/>
    <mergeCell ref="C5:E5"/>
  </mergeCells>
  <hyperlinks>
    <hyperlink ref="G2" location="'22'!A1" display="[22]"/>
    <hyperlink ref="G3" location="'23'!A1" display="[23]"/>
    <hyperlink ref="G4" location="'48'!A1" display="[48]"/>
    <hyperlink ref="G5" location="'48'!A1" display="[48]"/>
  </hyperlinks>
  <printOptions/>
  <pageMargins left="0.75" right="0.75" top="1" bottom="1" header="0.5" footer="0.5"/>
  <pageSetup horizontalDpi="300" verticalDpi="300" orientation="portrait" r:id="rId1"/>
</worksheet>
</file>

<file path=xl/worksheets/sheet29.xml><?xml version="1.0" encoding="utf-8"?>
<worksheet xmlns="http://schemas.openxmlformats.org/spreadsheetml/2006/main" xmlns:r="http://schemas.openxmlformats.org/officeDocument/2006/relationships">
  <sheetPr codeName="Sheet38"/>
  <dimension ref="A1:K40"/>
  <sheetViews>
    <sheetView workbookViewId="0" topLeftCell="A1">
      <selection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3:11" ht="16.5" thickBot="1">
      <c r="C1" s="7" t="s">
        <v>367</v>
      </c>
      <c r="E1" s="10" t="s">
        <v>309</v>
      </c>
      <c r="G1" s="19">
        <f>'21'!G9</f>
        <v>0</v>
      </c>
      <c r="I1" s="4" t="s">
        <v>72</v>
      </c>
      <c r="J1" s="19">
        <f>'21'!J1</f>
        <v>0</v>
      </c>
      <c r="K1" s="2" t="str">
        <f>'24'!K1</f>
        <v>Torso</v>
      </c>
    </row>
    <row r="2" spans="1:10" ht="65.25" customHeight="1">
      <c r="A2" s="9" t="s">
        <v>365</v>
      </c>
      <c r="B2" s="9"/>
      <c r="C2" s="129" t="s">
        <v>372</v>
      </c>
      <c r="D2" s="140"/>
      <c r="E2" s="141"/>
      <c r="F2" s="35"/>
      <c r="G2" s="33" t="s">
        <v>366</v>
      </c>
      <c r="I2" s="22"/>
      <c r="J2" s="53"/>
    </row>
    <row r="3" spans="1:10" ht="15.75">
      <c r="A3" s="9"/>
      <c r="B3" s="9"/>
      <c r="C3" s="9"/>
      <c r="E3" s="10" t="str">
        <f>IF('26'!E7="Dodge:","Dodge Roll:",IF('26'!E7="Block:","Block Roll:",IF('26'!E7="Parry:","Parry Roll:","Active Defense Roll:")))</f>
        <v>Active Defense Roll:</v>
      </c>
      <c r="G3" s="72">
        <f>IF('26'!G11=0,"",'26'!G11)</f>
      </c>
      <c r="I3" s="10" t="str">
        <f>'25'!I4</f>
        <v>Effective Active Defense:</v>
      </c>
      <c r="J3" s="72">
        <f>'25'!J4</f>
      </c>
    </row>
    <row r="4" spans="3:5" ht="15.75">
      <c r="C4" s="16"/>
      <c r="D4" s="16"/>
      <c r="E4" s="16"/>
    </row>
    <row r="5" spans="3:5" ht="15.75">
      <c r="C5" s="16"/>
      <c r="D5" s="16"/>
      <c r="E5" s="16"/>
    </row>
    <row r="6" spans="3:5" ht="15.75">
      <c r="C6" s="16"/>
      <c r="D6" s="16"/>
      <c r="E6" s="16"/>
    </row>
    <row r="7" spans="3:5" ht="15.75">
      <c r="C7" s="16"/>
      <c r="D7" s="16"/>
      <c r="E7" s="16"/>
    </row>
    <row r="8" spans="3:5" ht="15.75">
      <c r="C8" s="16"/>
      <c r="D8" s="16"/>
      <c r="E8" s="16"/>
    </row>
    <row r="9" spans="3:5" ht="15.75">
      <c r="C9" s="16"/>
      <c r="D9" s="16"/>
      <c r="E9" s="16"/>
    </row>
    <row r="10" spans="3:5" ht="15.75">
      <c r="C10" s="16"/>
      <c r="D10" s="16"/>
      <c r="E10" s="16"/>
    </row>
    <row r="11" spans="3:5" ht="15.75">
      <c r="C11" s="16"/>
      <c r="D11" s="16"/>
      <c r="E11" s="16"/>
    </row>
    <row r="12" spans="3:5" ht="15.75">
      <c r="C12" s="16"/>
      <c r="D12" s="16"/>
      <c r="E12" s="16"/>
    </row>
    <row r="13" spans="3:5" ht="15.75">
      <c r="C13" s="16"/>
      <c r="D13" s="16"/>
      <c r="E13" s="16"/>
    </row>
    <row r="14" spans="3:5" ht="15.75">
      <c r="C14" s="16"/>
      <c r="D14" s="16"/>
      <c r="E14" s="16"/>
    </row>
    <row r="15" spans="3:5" ht="15.75">
      <c r="C15" s="16"/>
      <c r="D15" s="16"/>
      <c r="E15" s="16"/>
    </row>
    <row r="16" spans="3:5" ht="15.75">
      <c r="C16" s="16"/>
      <c r="D16" s="16"/>
      <c r="E16" s="16"/>
    </row>
    <row r="17" spans="3:5" ht="15.75">
      <c r="C17" s="16"/>
      <c r="D17" s="16"/>
      <c r="E17" s="16"/>
    </row>
    <row r="18" spans="3:5" ht="15.75">
      <c r="C18" s="16"/>
      <c r="D18" s="16"/>
      <c r="E18" s="16"/>
    </row>
    <row r="19" spans="3:5" ht="15.75">
      <c r="C19" s="16"/>
      <c r="D19" s="16"/>
      <c r="E19" s="16"/>
    </row>
    <row r="20" spans="3:5" ht="15.75">
      <c r="C20" s="16"/>
      <c r="D20" s="16"/>
      <c r="E20" s="16"/>
    </row>
    <row r="21" spans="3:5" ht="15.75">
      <c r="C21" s="16"/>
      <c r="D21" s="16"/>
      <c r="E21" s="16"/>
    </row>
    <row r="22" spans="3:5" ht="15.75">
      <c r="C22" s="16"/>
      <c r="D22" s="16"/>
      <c r="E22" s="16"/>
    </row>
    <row r="23" spans="3:5" ht="15.75">
      <c r="C23" s="16"/>
      <c r="D23" s="16"/>
      <c r="E23" s="16"/>
    </row>
    <row r="24" spans="3:5" ht="15.75">
      <c r="C24" s="16"/>
      <c r="D24" s="16"/>
      <c r="E24" s="16"/>
    </row>
    <row r="25" spans="3:5" ht="15.75">
      <c r="C25" s="16"/>
      <c r="D25" s="16"/>
      <c r="E25" s="16"/>
    </row>
    <row r="26" spans="3:5" ht="15.75">
      <c r="C26" s="16"/>
      <c r="D26" s="16"/>
      <c r="E26" s="16"/>
    </row>
    <row r="27" spans="3:5" ht="15.75">
      <c r="C27" s="16"/>
      <c r="D27" s="16"/>
      <c r="E27" s="16"/>
    </row>
    <row r="28" spans="3:5" ht="15.75">
      <c r="C28" s="16"/>
      <c r="D28" s="16"/>
      <c r="E28" s="16"/>
    </row>
    <row r="29" spans="3:5" ht="15.75">
      <c r="C29" s="16"/>
      <c r="D29" s="16"/>
      <c r="E29" s="16"/>
    </row>
    <row r="30" spans="3:5" ht="15.75">
      <c r="C30" s="16"/>
      <c r="D30" s="16"/>
      <c r="E30" s="16"/>
    </row>
    <row r="31" spans="3:5" ht="15.75">
      <c r="C31" s="16"/>
      <c r="D31" s="16"/>
      <c r="E31" s="16"/>
    </row>
    <row r="32" spans="3:5" ht="15.75">
      <c r="C32" s="16"/>
      <c r="D32" s="16"/>
      <c r="E32" s="16"/>
    </row>
    <row r="33" spans="3:5" ht="15.75">
      <c r="C33" s="16"/>
      <c r="D33" s="16"/>
      <c r="E33" s="16"/>
    </row>
    <row r="34" spans="3:5" ht="15.75">
      <c r="C34" s="16"/>
      <c r="D34" s="16"/>
      <c r="E34" s="16"/>
    </row>
    <row r="35" spans="3:5" ht="15.75">
      <c r="C35" s="16"/>
      <c r="D35" s="16"/>
      <c r="E35" s="16"/>
    </row>
    <row r="36" spans="3:5" ht="15.75">
      <c r="C36" s="16"/>
      <c r="D36" s="16"/>
      <c r="E36" s="16"/>
    </row>
    <row r="37" spans="3:5" ht="15.75">
      <c r="C37" s="16"/>
      <c r="D37" s="16"/>
      <c r="E37" s="16"/>
    </row>
    <row r="38" spans="3:5" ht="15.75">
      <c r="C38" s="16"/>
      <c r="D38" s="16"/>
      <c r="E38" s="16"/>
    </row>
    <row r="39" spans="3:5" ht="15.75">
      <c r="C39" s="16"/>
      <c r="D39" s="16"/>
      <c r="E39" s="16"/>
    </row>
    <row r="40" spans="3:5" ht="15.75">
      <c r="C40" s="16"/>
      <c r="D40" s="16"/>
      <c r="E40" s="16"/>
    </row>
  </sheetData>
  <mergeCells count="1">
    <mergeCell ref="C2:E2"/>
  </mergeCells>
  <hyperlinks>
    <hyperlink ref="G2" location="'29'!A1" display="[29]"/>
  </hyperlink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5"/>
  <dimension ref="A1:J25"/>
  <sheetViews>
    <sheetView workbookViewId="0" topLeftCell="A1">
      <selection activeCell="A1" sqref="A1"/>
    </sheetView>
  </sheetViews>
  <sheetFormatPr defaultColWidth="8.796875" defaultRowHeight="15"/>
  <cols>
    <col min="1" max="1" width="5.19921875" style="0" customWidth="1"/>
    <col min="2" max="2" width="0.8984375" style="0" customWidth="1"/>
    <col min="3" max="3" width="45.69921875" style="0" customWidth="1"/>
    <col min="4" max="4" width="0.8984375" style="0" customWidth="1"/>
    <col min="5" max="5" width="7.69921875" style="0" customWidth="1"/>
    <col min="6" max="6" width="0.8984375" style="0" customWidth="1"/>
    <col min="7" max="7" width="15.5" style="21" customWidth="1"/>
    <col min="8" max="9" width="7.69921875" style="0" customWidth="1"/>
  </cols>
  <sheetData>
    <row r="1" spans="1:10" ht="16.5" thickBot="1">
      <c r="A1" s="7"/>
      <c r="B1" s="7"/>
      <c r="C1" s="7"/>
      <c r="D1" s="7"/>
      <c r="E1" s="7"/>
      <c r="F1" s="7"/>
      <c r="G1" s="4" t="s">
        <v>72</v>
      </c>
      <c r="H1" s="19">
        <f>1!H1</f>
        <v>0</v>
      </c>
      <c r="I1" s="2" t="str">
        <f>IF(5!G4&lt;&gt;0,5!K1,3!K1)</f>
        <v>Torso</v>
      </c>
      <c r="J1" s="7"/>
    </row>
    <row r="2" spans="1:10" ht="31.5">
      <c r="A2" s="9" t="s">
        <v>44</v>
      </c>
      <c r="B2" s="7"/>
      <c r="C2" s="15" t="s">
        <v>288</v>
      </c>
      <c r="D2" s="7"/>
      <c r="E2" s="33" t="s">
        <v>45</v>
      </c>
      <c r="F2" s="7"/>
      <c r="G2" s="13"/>
      <c r="H2" s="22"/>
      <c r="I2" s="7"/>
      <c r="J2" s="7"/>
    </row>
    <row r="3" spans="1:10" ht="15.75">
      <c r="A3" s="9"/>
      <c r="B3" s="7"/>
      <c r="C3" s="14" t="s">
        <v>289</v>
      </c>
      <c r="D3" s="7"/>
      <c r="E3" s="33" t="s">
        <v>47</v>
      </c>
      <c r="F3" s="7"/>
      <c r="G3" s="17"/>
      <c r="H3" s="7"/>
      <c r="I3" s="7"/>
      <c r="J3" s="7"/>
    </row>
    <row r="4" spans="1:10" ht="15.75">
      <c r="A4" s="9"/>
      <c r="B4" s="7"/>
      <c r="C4" s="4"/>
      <c r="D4" s="7"/>
      <c r="E4" s="12"/>
      <c r="F4" s="7"/>
      <c r="G4" s="7"/>
      <c r="H4" s="7"/>
      <c r="I4" s="7"/>
      <c r="J4" s="7"/>
    </row>
    <row r="5" spans="1:10" ht="15.75">
      <c r="A5" s="7"/>
      <c r="B5" s="7"/>
      <c r="C5" s="7"/>
      <c r="D5" s="7"/>
      <c r="E5" s="7"/>
      <c r="F5" s="7"/>
      <c r="G5" s="7"/>
      <c r="H5" s="7"/>
      <c r="I5" s="7"/>
      <c r="J5" s="7"/>
    </row>
    <row r="6" spans="1:10" ht="15.75">
      <c r="A6" s="7"/>
      <c r="B6" s="7"/>
      <c r="C6" s="7"/>
      <c r="D6" s="7"/>
      <c r="E6" s="7"/>
      <c r="F6" s="7"/>
      <c r="G6" s="7"/>
      <c r="H6" s="7"/>
      <c r="I6" s="7"/>
      <c r="J6" s="7"/>
    </row>
    <row r="7" spans="1:10" ht="15.75">
      <c r="A7" s="7"/>
      <c r="B7" s="7"/>
      <c r="C7" s="7"/>
      <c r="D7" s="7"/>
      <c r="E7" s="7"/>
      <c r="F7" s="7"/>
      <c r="G7" s="7"/>
      <c r="H7" s="7"/>
      <c r="I7" s="7"/>
      <c r="J7" s="7"/>
    </row>
    <row r="8" spans="1:10" ht="15.75">
      <c r="A8" s="7"/>
      <c r="B8" s="7"/>
      <c r="C8" s="7"/>
      <c r="D8" s="7"/>
      <c r="E8" s="7"/>
      <c r="F8" s="7"/>
      <c r="G8" s="7"/>
      <c r="H8" s="7"/>
      <c r="I8" s="7"/>
      <c r="J8" s="7"/>
    </row>
    <row r="9" spans="1:10" ht="15.75">
      <c r="A9" s="7"/>
      <c r="B9" s="7"/>
      <c r="C9" s="7"/>
      <c r="D9" s="7"/>
      <c r="E9" s="7"/>
      <c r="F9" s="7"/>
      <c r="G9" s="7"/>
      <c r="H9" s="7"/>
      <c r="I9" s="7"/>
      <c r="J9" s="7"/>
    </row>
    <row r="10" spans="1:10" ht="15.75">
      <c r="A10" s="7"/>
      <c r="B10" s="7"/>
      <c r="C10" s="7"/>
      <c r="D10" s="7"/>
      <c r="E10" s="7"/>
      <c r="F10" s="7"/>
      <c r="G10" s="7"/>
      <c r="H10" s="7"/>
      <c r="I10" s="7"/>
      <c r="J10" s="7"/>
    </row>
    <row r="11" spans="1:10" ht="15.75">
      <c r="A11" s="7"/>
      <c r="B11" s="7"/>
      <c r="C11" s="7"/>
      <c r="D11" s="7"/>
      <c r="E11" s="7"/>
      <c r="F11" s="7"/>
      <c r="G11" s="7"/>
      <c r="H11" s="7"/>
      <c r="I11" s="7"/>
      <c r="J11" s="7"/>
    </row>
    <row r="12" spans="1:10" ht="15.75">
      <c r="A12" s="7"/>
      <c r="B12" s="7"/>
      <c r="C12" s="7"/>
      <c r="D12" s="7"/>
      <c r="E12" s="7"/>
      <c r="F12" s="7"/>
      <c r="G12" s="7"/>
      <c r="H12" s="7"/>
      <c r="I12" s="7"/>
      <c r="J12" s="7"/>
    </row>
    <row r="13" spans="1:10" ht="15.75">
      <c r="A13" s="7"/>
      <c r="B13" s="7"/>
      <c r="C13" s="7"/>
      <c r="D13" s="7"/>
      <c r="E13" s="7"/>
      <c r="F13" s="7"/>
      <c r="G13" s="7"/>
      <c r="H13" s="7"/>
      <c r="I13" s="7"/>
      <c r="J13" s="7"/>
    </row>
    <row r="14" spans="1:10" ht="15.75">
      <c r="A14" s="7"/>
      <c r="B14" s="7"/>
      <c r="C14" s="7"/>
      <c r="D14" s="7"/>
      <c r="E14" s="7"/>
      <c r="F14" s="7"/>
      <c r="G14" s="7"/>
      <c r="H14" s="7"/>
      <c r="I14" s="7"/>
      <c r="J14" s="7"/>
    </row>
    <row r="15" spans="1:10" ht="15.75">
      <c r="A15" s="7"/>
      <c r="B15" s="7"/>
      <c r="C15" s="7"/>
      <c r="D15" s="7"/>
      <c r="E15" s="7"/>
      <c r="F15" s="7"/>
      <c r="G15" s="7"/>
      <c r="H15" s="7"/>
      <c r="I15" s="7"/>
      <c r="J15" s="7"/>
    </row>
    <row r="16" spans="1:10" ht="15.75">
      <c r="A16" s="7"/>
      <c r="B16" s="7"/>
      <c r="C16" s="7"/>
      <c r="D16" s="7"/>
      <c r="E16" s="7"/>
      <c r="F16" s="7"/>
      <c r="G16" s="7"/>
      <c r="H16" s="7"/>
      <c r="I16" s="7"/>
      <c r="J16" s="7"/>
    </row>
    <row r="17" spans="1:10" ht="15.75">
      <c r="A17" s="7"/>
      <c r="B17" s="7"/>
      <c r="C17" s="7"/>
      <c r="D17" s="7"/>
      <c r="E17" s="7"/>
      <c r="F17" s="7"/>
      <c r="G17" s="7"/>
      <c r="H17" s="7"/>
      <c r="I17" s="7"/>
      <c r="J17" s="7"/>
    </row>
    <row r="18" spans="1:10" ht="15.75">
      <c r="A18" s="7"/>
      <c r="B18" s="7"/>
      <c r="C18" s="7"/>
      <c r="D18" s="7"/>
      <c r="E18" s="7"/>
      <c r="F18" s="7"/>
      <c r="G18" s="7"/>
      <c r="H18" s="7"/>
      <c r="I18" s="7"/>
      <c r="J18" s="7"/>
    </row>
    <row r="19" spans="1:10" ht="15.75">
      <c r="A19" s="7"/>
      <c r="B19" s="7"/>
      <c r="C19" s="7"/>
      <c r="D19" s="7"/>
      <c r="E19" s="7"/>
      <c r="F19" s="7"/>
      <c r="G19" s="7"/>
      <c r="H19" s="7"/>
      <c r="I19" s="7"/>
      <c r="J19" s="7"/>
    </row>
    <row r="20" spans="1:10" ht="15.75">
      <c r="A20" s="7"/>
      <c r="B20" s="7"/>
      <c r="C20" s="7"/>
      <c r="D20" s="7"/>
      <c r="E20" s="7"/>
      <c r="F20" s="7"/>
      <c r="G20" s="7"/>
      <c r="H20" s="7"/>
      <c r="I20" s="7"/>
      <c r="J20" s="7"/>
    </row>
    <row r="21" spans="1:10" ht="15.75">
      <c r="A21" s="7"/>
      <c r="B21" s="7"/>
      <c r="C21" s="7"/>
      <c r="D21" s="7"/>
      <c r="E21" s="7"/>
      <c r="F21" s="7"/>
      <c r="G21" s="7"/>
      <c r="H21" s="7"/>
      <c r="I21" s="7"/>
      <c r="J21" s="7"/>
    </row>
    <row r="22" spans="1:10" ht="15.75">
      <c r="A22" s="7"/>
      <c r="B22" s="7"/>
      <c r="C22" s="7"/>
      <c r="D22" s="7"/>
      <c r="E22" s="7"/>
      <c r="F22" s="7"/>
      <c r="G22" s="7"/>
      <c r="H22" s="7"/>
      <c r="I22" s="7"/>
      <c r="J22" s="7"/>
    </row>
    <row r="23" spans="1:10" ht="15.75">
      <c r="A23" s="7"/>
      <c r="B23" s="7"/>
      <c r="C23" s="7"/>
      <c r="D23" s="7"/>
      <c r="E23" s="7"/>
      <c r="F23" s="7"/>
      <c r="G23" s="7"/>
      <c r="H23" s="7"/>
      <c r="I23" s="7"/>
      <c r="J23" s="7"/>
    </row>
    <row r="24" spans="1:10" ht="15.75">
      <c r="A24" s="7"/>
      <c r="B24" s="7"/>
      <c r="C24" s="7"/>
      <c r="D24" s="7"/>
      <c r="E24" s="7"/>
      <c r="F24" s="7"/>
      <c r="G24" s="7"/>
      <c r="H24" s="7"/>
      <c r="I24" s="7"/>
      <c r="J24" s="7"/>
    </row>
    <row r="25" spans="1:10" ht="15.75">
      <c r="A25" s="7"/>
      <c r="B25" s="7"/>
      <c r="C25" s="7"/>
      <c r="D25" s="7"/>
      <c r="E25" s="7"/>
      <c r="F25" s="7"/>
      <c r="G25" s="7"/>
      <c r="H25" s="7"/>
      <c r="I25" s="7"/>
      <c r="J25" s="7"/>
    </row>
  </sheetData>
  <dataValidations count="2">
    <dataValidation allowBlank="1" showErrorMessage="1" promptTitle="Unmodified Weapon Skill" prompt="Select your Unmodified Weapon Skill from the range 0 to 35." sqref="E4"/>
    <dataValidation allowBlank="1" showErrorMessage="1" promptTitle="Unmodified Weapon Skill" prompt="Select your Unmodified Weapon Skill from the range 0 to 35." sqref="E2:E3"/>
  </dataValidations>
  <hyperlinks>
    <hyperlink ref="E2" location="'3'!A1" display="[3]"/>
    <hyperlink ref="E3" location="'4'!A1" display="[4]"/>
  </hyperlinks>
  <printOptions/>
  <pageMargins left="0.75" right="0.75" top="1" bottom="1" header="0.5" footer="0.5"/>
  <pageSetup horizontalDpi="300" verticalDpi="300" orientation="portrait" r:id="rId1"/>
</worksheet>
</file>

<file path=xl/worksheets/sheet30.xml><?xml version="1.0" encoding="utf-8"?>
<worksheet xmlns="http://schemas.openxmlformats.org/spreadsheetml/2006/main" xmlns:r="http://schemas.openxmlformats.org/officeDocument/2006/relationships">
  <sheetPr codeName="Sheet39"/>
  <dimension ref="A1:K34"/>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95.25" customHeight="1">
      <c r="A2" s="9" t="s">
        <v>366</v>
      </c>
      <c r="B2" s="9"/>
      <c r="C2" s="129" t="s">
        <v>11</v>
      </c>
      <c r="D2" s="140"/>
      <c r="E2" s="141"/>
      <c r="F2" s="35"/>
      <c r="G2" s="33" t="s">
        <v>383</v>
      </c>
      <c r="I2" s="81">
        <f>IF(AND(G6&lt;&gt;"choose",G6&lt;&gt;"Fatigue (fat)"),"t","")</f>
      </c>
      <c r="J2" s="53"/>
    </row>
    <row r="3" spans="1:10" ht="15.75" customHeight="1">
      <c r="A3" s="9"/>
      <c r="B3" s="9"/>
      <c r="C3" s="129" t="s">
        <v>476</v>
      </c>
      <c r="D3" s="130"/>
      <c r="E3" s="131"/>
      <c r="F3" s="35"/>
      <c r="G3" s="33" t="s">
        <v>474</v>
      </c>
      <c r="I3" s="82">
        <f>IF(AND(G6&lt;&gt;"choose",G6="Fatigue (fat)"),"t","")</f>
      </c>
      <c r="J3" s="53"/>
    </row>
    <row r="4" spans="1:10" ht="15.75">
      <c r="A4" s="9"/>
      <c r="B4" s="9"/>
      <c r="C4" s="9"/>
      <c r="E4" s="10" t="str">
        <f>IF('26'!E7="Dodge:","Dodge Roll:",IF('26'!E7="Block:","Block Roll:",IF('26'!E7="Parry:","Parry Roll:","Active Defense Roll:")))</f>
        <v>Active Defense Roll:</v>
      </c>
      <c r="G4" s="72">
        <f>IF('26'!G11=0,"",'26'!G11)</f>
      </c>
      <c r="I4" s="10" t="str">
        <f>'25'!I4</f>
        <v>Effective Active Defense:</v>
      </c>
      <c r="J4" s="72">
        <f>'25'!J4</f>
      </c>
    </row>
    <row r="5" spans="3:5" ht="15.75">
      <c r="C5" s="16"/>
      <c r="D5" s="16"/>
      <c r="E5" s="16"/>
    </row>
    <row r="6" spans="3:10" ht="15.75">
      <c r="C6" s="16"/>
      <c r="D6" s="16"/>
      <c r="E6" s="10" t="s">
        <v>382</v>
      </c>
      <c r="G6" s="150" t="s">
        <v>56</v>
      </c>
      <c r="H6" s="151"/>
      <c r="I6" s="152"/>
      <c r="J6" s="99" t="str">
        <f>IF(G6="choose","t","")</f>
        <v>t</v>
      </c>
    </row>
    <row r="7" spans="3:7" ht="15.75">
      <c r="C7" s="16"/>
      <c r="D7" s="16"/>
      <c r="E7" s="10"/>
      <c r="G7" s="55"/>
    </row>
    <row r="8" spans="3:9" ht="15.75">
      <c r="C8" s="16"/>
      <c r="D8" s="16"/>
      <c r="E8" s="10" t="s">
        <v>373</v>
      </c>
      <c r="G8" s="88"/>
      <c r="I8" s="27" t="s">
        <v>381</v>
      </c>
    </row>
    <row r="9" spans="3:9" ht="15.75">
      <c r="C9" s="16"/>
      <c r="D9" s="10"/>
      <c r="E9" s="10" t="s">
        <v>402</v>
      </c>
      <c r="G9" s="41">
        <f>IF(ISNUMBER(G8),G8,IF(ISNUMBER(G14),G14,0))</f>
        <v>0</v>
      </c>
      <c r="I9" s="27"/>
    </row>
    <row r="10" spans="3:11" ht="15.75">
      <c r="C10" s="16"/>
      <c r="D10" s="16"/>
      <c r="E10" s="68"/>
      <c r="K10" s="16"/>
    </row>
    <row r="11" spans="4:11" ht="15.75">
      <c r="D11" s="16"/>
      <c r="E11" s="10" t="s">
        <v>374</v>
      </c>
      <c r="G11" s="47" t="s">
        <v>56</v>
      </c>
      <c r="I11" s="27" t="s">
        <v>378</v>
      </c>
      <c r="K11" s="41" t="str">
        <f>IF(ISNUMBER(C33),C33,IF(ISNUMBER(C34),C34,"0"))</f>
        <v>0</v>
      </c>
    </row>
    <row r="12" spans="4:11" ht="15.75">
      <c r="D12" s="16"/>
      <c r="E12" s="10" t="s">
        <v>375</v>
      </c>
      <c r="G12" s="47" t="s">
        <v>377</v>
      </c>
      <c r="I12" s="27" t="s">
        <v>379</v>
      </c>
      <c r="K12" s="41">
        <f>IF(G12="no",0,G12)</f>
        <v>0</v>
      </c>
    </row>
    <row r="13" spans="4:11" ht="15.75">
      <c r="D13" s="16"/>
      <c r="E13" s="10" t="s">
        <v>376</v>
      </c>
      <c r="G13" s="47" t="s">
        <v>377</v>
      </c>
      <c r="I13" s="27" t="s">
        <v>380</v>
      </c>
      <c r="K13" s="41">
        <f>IF(G13="x2",2,IF(G13="x3",3,IF(G13="x4",4,IF(G13="x6",6,IF(G13="x10",10,1)))))</f>
        <v>1</v>
      </c>
    </row>
    <row r="14" spans="4:11" ht="15.75">
      <c r="D14" s="16"/>
      <c r="E14" s="59" t="s">
        <v>401</v>
      </c>
      <c r="G14" s="89"/>
      <c r="I14" s="41">
        <f>IF(AND(K14&lt;=0,G6="Crushing (cr)"),0,IF(AND(K14&lt;=0,G6&lt;&gt;"Crushing (cr)"),1,K14))</f>
        <v>1</v>
      </c>
      <c r="K14" s="41">
        <f>(K11+K12)*K13</f>
        <v>0</v>
      </c>
    </row>
    <row r="15" spans="4:5" ht="15.75">
      <c r="D15" s="16"/>
      <c r="E15" s="16"/>
    </row>
    <row r="16" spans="4:10" ht="15.75">
      <c r="D16" s="10" t="s">
        <v>400</v>
      </c>
      <c r="E16" s="47" t="str">
        <f>IF(OR('24'!G5=TRUE,'24'!G6=TRUE),"Max. Normal",IF('24'!G7=TRUE,"Double",IF('24'!G8=TRUE,"Triple","-")))</f>
        <v>-</v>
      </c>
      <c r="G16" s="47" t="str">
        <f>IF(E16="Max. Normal",A34,IF(E16="Double",G9*2,IF(E16="Triple",G9*3,"-")))</f>
        <v>-</v>
      </c>
      <c r="I16" s="41">
        <f>IF(ISNUMBER(G16),G16,G9)</f>
        <v>0</v>
      </c>
      <c r="J16" s="34"/>
    </row>
    <row r="17" spans="4:10" ht="15.75">
      <c r="D17" s="16" t="s">
        <v>384</v>
      </c>
      <c r="E17" s="16">
        <f>IF(G11&lt;3,2,IF(G11=3,3,IF(G11=4,4,IF(G11=5,5,IF(G11=6,6,IF(G11=7,7,IF(G11=8,8,2)))))))</f>
        <v>2</v>
      </c>
      <c r="G17" s="47">
        <f>IF(J17=TRUE,E17,"")</f>
      </c>
      <c r="I17" s="41">
        <f>IF(ISNUMBER(G17),G17,0)</f>
        <v>0</v>
      </c>
      <c r="J17" s="87" t="b">
        <v>0</v>
      </c>
    </row>
    <row r="18" spans="4:10" ht="15.75">
      <c r="D18" s="16"/>
      <c r="E18" s="52" t="s">
        <v>403</v>
      </c>
      <c r="G18" s="77">
        <f>IF(AND(I18&lt;=0,G6="Crushing (cr)"),0,IF(AND(I18&lt;=0,G6&lt;&gt;"Crushing (cr)"),1,I18))</f>
      </c>
      <c r="I18" s="41">
        <f>IF(I16+I17&lt;&gt;0,I16+I17,"")</f>
      </c>
      <c r="J18" s="34"/>
    </row>
    <row r="19" spans="4:5" ht="15.75">
      <c r="D19" s="16"/>
      <c r="E19" s="16"/>
    </row>
    <row r="20" spans="1:4" ht="15.75">
      <c r="A20" s="41">
        <f>IF(G11=1,(6+K12)*K13,0)</f>
        <v>0</v>
      </c>
      <c r="B20" s="86"/>
      <c r="C20" s="41" t="str">
        <f ca="1">IF(G11=1,(ROUND(RAND()*(6-1)+1,0)),"1d6")</f>
        <v>1d6</v>
      </c>
      <c r="D20" s="16"/>
    </row>
    <row r="21" spans="1:5" ht="15.75">
      <c r="A21" s="41">
        <f>IF(G11=2,(12+K12)*K13,0)</f>
        <v>0</v>
      </c>
      <c r="B21" s="86"/>
      <c r="C21" s="41" t="str">
        <f ca="1">IF(G11=2,(ROUND(RAND()*(6-1)+1,0))+(ROUND(RAND()*(6-1)+1,0)),"2d6")</f>
        <v>2d6</v>
      </c>
      <c r="D21" s="41" t="str">
        <f>IF(ISNUMBER(C33),C33,IF(ISNUMBER(C34),C34,"0"))</f>
        <v>0</v>
      </c>
      <c r="E21" s="16"/>
    </row>
    <row r="22" spans="1:5" ht="15.75">
      <c r="A22" s="41">
        <f>IF(G11=3,(18+K12)*K13,0)</f>
        <v>0</v>
      </c>
      <c r="B22" s="86"/>
      <c r="C22" s="41" t="str">
        <f ca="1">IF(G11=3,(ROUND(RAND()*(6-1)+1,0))+(ROUND(RAND()*(6-1)+1,0))+(ROUND(RAND()*(6-1)+1,0)),"3d6")</f>
        <v>3d6</v>
      </c>
      <c r="D22" s="16"/>
      <c r="E22" s="16"/>
    </row>
    <row r="23" spans="1:5" ht="15.75">
      <c r="A23" s="41">
        <f>IF(G11=4,(24+K12)*K13,0)</f>
        <v>0</v>
      </c>
      <c r="B23" s="86"/>
      <c r="C23" s="41" t="str">
        <f ca="1">IF(G11=4,(ROUND(RAND()*(6-1)+1,0))+(ROUND(RAND()*(6-1)+1,0))+(ROUND(RAND()*(6-1)+1,0))+(ROUND(RAND()*(6-1)+1,0)),"4d6")</f>
        <v>4d6</v>
      </c>
      <c r="E23" s="16"/>
    </row>
    <row r="24" spans="1:5" ht="15.75">
      <c r="A24" s="41">
        <f>IF(G11=5,(30+K12)*K13,0)</f>
        <v>0</v>
      </c>
      <c r="B24" s="86"/>
      <c r="C24" s="41" t="str">
        <f ca="1">IF(G11=5,(ROUND(RAND()*(6-1)+1,0))+(ROUND(RAND()*(6-1)+1,0))+(ROUND(RAND()*(6-1)+1,0))+(ROUND(RAND()*(6-1)+1,0))+(ROUND(RAND()*(6-1)+1,0)),"5d6")</f>
        <v>5d6</v>
      </c>
      <c r="D24" s="16"/>
      <c r="E24" s="16"/>
    </row>
    <row r="25" spans="1:3" ht="15.75">
      <c r="A25" s="41">
        <f>IF(G11=6,(36+K12)*K13,0)</f>
        <v>0</v>
      </c>
      <c r="B25" s="86"/>
      <c r="C25" s="41" t="str">
        <f ca="1">IF(G11=6,(ROUND(RAND()*(6-1)+1,0))+(ROUND(RAND()*(6-1)+1,0))+(ROUND(RAND()*(6-1)+1,0))+(ROUND(RAND()*(6-1)+1,0))+(ROUND(RAND()*(6-1)+1,0))+(ROUND(RAND()*(6-1)+1,0)),"6d6")</f>
        <v>6d6</v>
      </c>
    </row>
    <row r="26" spans="1:3" ht="15.75">
      <c r="A26" s="41">
        <f>IF(G11=7,(42+K12)*K13,0)</f>
        <v>0</v>
      </c>
      <c r="B26" s="86"/>
      <c r="C26" s="41" t="str">
        <f ca="1">IF(G11=7,(ROUND(RAND()*(6-1)+1,0))+(ROUND(RAND()*(6-1)+1,0))+(ROUND(RAND()*(6-1)+1,0))+(ROUND(RAND()*(6-1)+1,0))+(ROUND(RAND()*(6-1)+1,0))+(ROUND(RAND()*(6-1)+1,0))+(ROUND(RAND()*(6-1)+1,0)),"7d6")</f>
        <v>7d6</v>
      </c>
    </row>
    <row r="27" spans="1:3" ht="15.75">
      <c r="A27" s="41">
        <f>IF(G11=8,(48+K12)*K13,0)</f>
        <v>0</v>
      </c>
      <c r="B27" s="86"/>
      <c r="C27" s="41" t="str">
        <f ca="1">IF(G11=8,(ROUND(RAND()*(6-1)+1,0))+(ROUND(RAND()*(6-1)+1,0))+(ROUND(RAND()*(6-1)+1,0))+(ROUND(RAND()*(6-1)+1,0))+(ROUND(RAND()*(6-1)+1,0))+(ROUND(RAND()*(6-1)+1,0))+(ROUND(RAND()*(6-1)+1,0))+(ROUND(RAND()*(6-1)+1,0)),"8d6")</f>
        <v>8d6</v>
      </c>
    </row>
    <row r="28" spans="1:3" ht="15.75">
      <c r="A28" s="41">
        <f>IF(G11=9,(54+K12)*K13,0)</f>
        <v>0</v>
      </c>
      <c r="B28" s="86"/>
      <c r="C28" s="41" t="str">
        <f ca="1">IF(G11=9,(ROUND(RAND()*(6-1)+1,0))+(ROUND(RAND()*(6-1)+1,0))+(ROUND(RAND()*(6-1)+1,0))+(ROUND(RAND()*(6-1)+1,0))+(ROUND(RAND()*(6-1)+1,0))+(ROUND(RAND()*(6-1)+1,0))+(ROUND(RAND()*(6-1)+1,0))+(ROUND(RAND()*(6-1)+1,0))+(ROUND(RAND()*(6-1)+1,0)),"9d6")</f>
        <v>9d6</v>
      </c>
    </row>
    <row r="29" spans="1:3" ht="15.75">
      <c r="A29" s="41">
        <f>IF(G11=10,(60+K12)*K13,0)</f>
        <v>0</v>
      </c>
      <c r="B29" s="86"/>
      <c r="C29" s="41" t="str">
        <f ca="1">IF(G11=10,(ROUND(RAND()*(6-1)+1,0))+(ROUND(RAND()*(6-1)+1,0))+(ROUND(RAND()*(6-1)+1,0))+(ROUND(RAND()*(6-1)+1,0))+(ROUND(RAND()*(6-1)+1,0))+(ROUND(RAND()*(6-1)+1,0))+(ROUND(RAND()*(6-1)+1,0))+(ROUND(RAND()*(6-1)+1,0))+(ROUND(RAND()*(6-1)+1,0))+(ROUND(RAND()*(6-1)+1,0)),"10d6")</f>
        <v>10d6</v>
      </c>
    </row>
    <row r="30" spans="1:3" ht="15.75">
      <c r="A30" s="41">
        <f>IF(G11=11,(66+K12)*K13,0)</f>
        <v>0</v>
      </c>
      <c r="B30" s="86"/>
      <c r="C30" s="41" t="str">
        <f ca="1">IF(G11=11,(ROUND(RAND()*(6-1)+1,0))+(ROUND(RAND()*(6-1)+1,0))+(ROUND(RAND()*(6-1)+1,0))+(ROUND(RAND()*(6-1)+1,0))+(ROUND(RAND()*(6-1)+1,0))+(ROUND(RAND()*(6-1)+1,0))+(ROUND(RAND()*(6-1)+1,0))+(ROUND(RAND()*(6-1)+1,0))+(ROUND(RAND()*(6-1)+1,0))+(ROUND(RAND()*(6-1)+1,0))+(ROUND(RAND()*(6-1)+1,0)),"11d6")</f>
        <v>11d6</v>
      </c>
    </row>
    <row r="31" spans="1:3" ht="15.75">
      <c r="A31" s="41">
        <f>IF(G11=12,(72+K12)*K13,0)</f>
        <v>0</v>
      </c>
      <c r="B31" s="86"/>
      <c r="C31" s="41" t="str">
        <f ca="1">IF(G11=12,(ROUND(RAND()*(6-1)+1,0))+(ROUND(RAND()*(6-1)+1,0))+(ROUND(RAND()*(6-1)+1,0))+(ROUND(RAND()*(6-1)+1,0))+(ROUND(RAND()*(6-1)+1,0))+(ROUND(RAND()*(6-1)+1,0))+(ROUND(RAND()*(6-1)+1,0))+(ROUND(RAND()*(6-1)+1,0))+(ROUND(RAND()*(6-1)+1,0))+(ROUND(RAND()*(6-1)+1,0))+(ROUND(RAND()*(6-1)+1,0))+(ROUND(RAND()*(6-1)+1,0)),"12d6")</f>
        <v>12d6</v>
      </c>
    </row>
    <row r="32" spans="1:3" ht="15.75">
      <c r="A32" s="41">
        <f>IF(G11=13,(78+K12)*K13,0)</f>
        <v>0</v>
      </c>
      <c r="B32" s="86"/>
      <c r="C32" s="41" t="str">
        <f ca="1">IF(G11=13,(ROUND(RAND()*(6-1)+1,0))+(ROUND(RAND()*(6-1)+1,0))+(ROUND(RAND()*(6-1)+1,0))+(ROUND(RAND()*(6-1)+1,0))+(ROUND(RAND()*(6-1)+1,0))+(ROUND(RAND()*(6-1)+1,0))+(ROUND(RAND()*(6-1)+1,0))+(ROUND(RAND()*(6-1)+1,0))+(ROUND(RAND()*(6-1)+1,0))+(ROUND(RAND()*(6-1)+1,0))+(ROUND(RAND()*(6-1)+1,0))+(ROUND(RAND()*(6-1)+1,0))+(ROUND(RAND()*(6-1)+1,0)),"13d6")</f>
        <v>13d6</v>
      </c>
    </row>
    <row r="33" spans="1:3" ht="15.75">
      <c r="A33" s="41">
        <f>SUM(A20:A32)</f>
        <v>0</v>
      </c>
      <c r="B33" s="86"/>
      <c r="C33" s="41" t="str">
        <f>IF(ISNUMBER(C20),C20,IF(ISNUMBER(C21),C21,IF(ISNUMBER(C22),C22,IF(ISNUMBER(C23),C23,IF(ISNUMBER(C24),C24,IF(ISNUMBER(C25),C25,IF(ISNUMBER(C26),C26,"-")))))))</f>
        <v>-</v>
      </c>
    </row>
    <row r="34" spans="1:3" ht="15.75">
      <c r="A34" s="41">
        <f>IF(ISNUMBER(G8),G8,A33)</f>
        <v>0</v>
      </c>
      <c r="B34" s="86"/>
      <c r="C34" s="41" t="str">
        <f>IF(ISNUMBER(C27),C27,IF(ISNUMBER(C28),C28,IF(ISNUMBER(C29),C29,IF(ISNUMBER(C30),C30,IF(ISNUMBER(C31),C31,IF(ISNUMBER(C32),C32,"-"))))))</f>
        <v>-</v>
      </c>
    </row>
  </sheetData>
  <mergeCells count="3">
    <mergeCell ref="C2:E2"/>
    <mergeCell ref="G6:I6"/>
    <mergeCell ref="C3:E3"/>
  </mergeCells>
  <dataValidations count="4">
    <dataValidation type="list" allowBlank="1" showInputMessage="1" showErrorMessage="1" sqref="G11">
      <formula1>"choose,1,2,3,4,5,6,7,8,9,10,11,12,13"</formula1>
    </dataValidation>
    <dataValidation type="list" allowBlank="1" showInputMessage="1" showErrorMessage="1" sqref="G12">
      <formula1>"no,4,3,2,1,-1,-2,-3,-4"</formula1>
    </dataValidation>
    <dataValidation type="list" allowBlank="1" showInputMessage="1" showErrorMessage="1" sqref="G13">
      <formula1>"no,x2,x3,x4,x6,x10"</formula1>
    </dataValidation>
    <dataValidation type="list" allowBlank="1" showInputMessage="1" showErrorMessage="1" sqref="G6:I6">
      <formula1>"choose,Burning (burn),Burning-Beam (burn),Corrosion (cor),Crushing (cr),Cutting (cut),Fatigue (fat),Huge Piercing (pi++),Impaling (imp),Large Piercing (pi+),Piercing (pi),Small Piercing (pi-),Toxic (tox)"</formula1>
    </dataValidation>
  </dataValidations>
  <hyperlinks>
    <hyperlink ref="G3" location="'42'!A1" display="[42]"/>
    <hyperlink ref="G2" location="'30'!A1" display="[30]"/>
  </hyperlinks>
  <printOptions/>
  <pageMargins left="0.75" right="0.75" top="1" bottom="1" header="0.5" footer="0.5"/>
  <pageSetup horizontalDpi="300" verticalDpi="300" orientation="portrait" r:id="rId3"/>
  <drawing r:id="rId2"/>
  <legacyDrawing r:id="rId1"/>
</worksheet>
</file>

<file path=xl/worksheets/sheet31.xml><?xml version="1.0" encoding="utf-8"?>
<worksheet xmlns="http://schemas.openxmlformats.org/spreadsheetml/2006/main" xmlns:r="http://schemas.openxmlformats.org/officeDocument/2006/relationships">
  <sheetPr codeName="Sheet40"/>
  <dimension ref="A1:K28"/>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93" customHeight="1">
      <c r="A2" s="9" t="s">
        <v>383</v>
      </c>
      <c r="B2" s="9"/>
      <c r="C2" s="129" t="s">
        <v>416</v>
      </c>
      <c r="D2" s="140"/>
      <c r="E2" s="141"/>
      <c r="F2" s="35"/>
      <c r="G2" s="33" t="s">
        <v>417</v>
      </c>
      <c r="I2" s="22"/>
      <c r="J2" s="53"/>
    </row>
    <row r="3" spans="1:10" ht="15.75">
      <c r="A3" s="9"/>
      <c r="B3" s="9"/>
      <c r="C3" s="9"/>
      <c r="E3" s="10" t="str">
        <f>IF('26'!E7="Dodge:","Dodge Roll:",IF('26'!E7="Block:","Block Roll:",IF('26'!E7="Parry:","Parry Roll:","Active Defense Roll:")))</f>
        <v>Active Defense Roll:</v>
      </c>
      <c r="G3" s="72">
        <f>IF('26'!G11=0,"",'26'!G11)</f>
      </c>
      <c r="I3" s="10" t="str">
        <f>'25'!I4</f>
        <v>Effective Active Defense:</v>
      </c>
      <c r="J3" s="72">
        <f>'25'!J4</f>
      </c>
    </row>
    <row r="4" spans="3:10" ht="15.75">
      <c r="C4" s="16"/>
      <c r="D4" s="16"/>
      <c r="E4" s="10" t="s">
        <v>404</v>
      </c>
      <c r="G4" s="89">
        <f>'29'!G18</f>
      </c>
      <c r="I4" s="32">
        <f>IF('29'!G6="choose","",'29'!G6)</f>
      </c>
      <c r="J4" s="85" t="s">
        <v>386</v>
      </c>
    </row>
    <row r="5" spans="3:4" ht="15.75">
      <c r="C5" s="16"/>
      <c r="D5" s="16"/>
    </row>
    <row r="6" spans="3:9" ht="15.75">
      <c r="C6" s="55" t="s">
        <v>406</v>
      </c>
      <c r="D6" s="16"/>
      <c r="G6" s="90"/>
      <c r="H6" s="65"/>
      <c r="I6" s="94">
        <f>IF(K1="Skull","(The skull provides an extra DR of 2)","")</f>
      </c>
    </row>
    <row r="7" spans="3:9" ht="15.75">
      <c r="C7" s="55" t="s">
        <v>408</v>
      </c>
      <c r="D7" s="16"/>
      <c r="G7" s="78"/>
      <c r="H7" s="65"/>
      <c r="I7" s="79"/>
    </row>
    <row r="8" spans="4:9" ht="15.75">
      <c r="D8" s="10"/>
      <c r="E8" s="16"/>
      <c r="G8" s="78"/>
      <c r="H8" s="65"/>
      <c r="I8" s="79"/>
    </row>
    <row r="9" spans="3:11" ht="15.75">
      <c r="C9" s="50" t="s">
        <v>407</v>
      </c>
      <c r="D9" s="16"/>
      <c r="E9" s="68"/>
      <c r="G9" s="78"/>
      <c r="H9" s="65"/>
      <c r="I9" s="65"/>
      <c r="K9" s="41"/>
    </row>
    <row r="10" spans="3:10" ht="15.75">
      <c r="C10" s="41"/>
      <c r="D10" s="10" t="s">
        <v>409</v>
      </c>
      <c r="E10" s="78">
        <v>0.2</v>
      </c>
      <c r="G10" s="47">
        <f aca="true" t="shared" si="0" ref="G10:G15">IF(I10=TRUE,E10,"")</f>
      </c>
      <c r="H10" s="65"/>
      <c r="I10" s="91" t="b">
        <v>0</v>
      </c>
      <c r="J10" s="34"/>
    </row>
    <row r="11" spans="3:10" ht="15.75">
      <c r="C11" s="41"/>
      <c r="D11" s="10" t="s">
        <v>410</v>
      </c>
      <c r="E11" s="78">
        <v>0.5</v>
      </c>
      <c r="G11" s="47">
        <f t="shared" si="0"/>
      </c>
      <c r="H11" s="65"/>
      <c r="I11" s="91" t="b">
        <v>0</v>
      </c>
      <c r="J11" s="34"/>
    </row>
    <row r="12" spans="3:11" ht="15.75">
      <c r="C12" s="41"/>
      <c r="D12" s="10" t="s">
        <v>411</v>
      </c>
      <c r="E12" s="78">
        <v>2</v>
      </c>
      <c r="G12" s="47">
        <f t="shared" si="0"/>
      </c>
      <c r="H12" s="65"/>
      <c r="I12" s="91" t="b">
        <v>0</v>
      </c>
      <c r="J12" s="34"/>
      <c r="K12" s="16"/>
    </row>
    <row r="13" spans="3:11" ht="15.75">
      <c r="C13" s="41"/>
      <c r="D13" s="10" t="s">
        <v>412</v>
      </c>
      <c r="E13" s="78">
        <v>3</v>
      </c>
      <c r="G13" s="47">
        <f t="shared" si="0"/>
      </c>
      <c r="H13" s="65"/>
      <c r="I13" s="91" t="b">
        <v>0</v>
      </c>
      <c r="J13" s="34"/>
      <c r="K13" s="16"/>
    </row>
    <row r="14" spans="3:10" ht="15.75">
      <c r="C14" s="41"/>
      <c r="D14" s="10" t="s">
        <v>413</v>
      </c>
      <c r="E14" s="78">
        <v>5</v>
      </c>
      <c r="G14" s="47">
        <f t="shared" si="0"/>
      </c>
      <c r="H14" s="65"/>
      <c r="I14" s="91" t="b">
        <v>0</v>
      </c>
      <c r="J14" s="34"/>
    </row>
    <row r="15" spans="3:10" ht="15.75">
      <c r="C15" s="41"/>
      <c r="D15" s="10" t="s">
        <v>414</v>
      </c>
      <c r="E15" s="78">
        <v>10</v>
      </c>
      <c r="G15" s="47">
        <f t="shared" si="0"/>
      </c>
      <c r="H15" s="65"/>
      <c r="I15" s="91" t="b">
        <v>0</v>
      </c>
      <c r="J15" s="34"/>
    </row>
    <row r="16" spans="3:10" ht="15.75">
      <c r="C16" s="41"/>
      <c r="D16" s="16"/>
      <c r="E16" s="10"/>
      <c r="G16" s="92">
        <f>IF(I10=TRUE,0.2,IF(I11=TRUE,0.5,IF(I12=TRUE,2,IF(I13=TRUE,3,IF(I14=TRUE,5,IF(I15=TRUE,10,""))))))</f>
      </c>
      <c r="H16" s="65"/>
      <c r="I16" s="92">
        <f>IF(ISNUMBER(G6/G16),G6/G16,G6)</f>
        <v>0</v>
      </c>
      <c r="J16" s="41">
        <f>ROUNDDOWN(I16,0)</f>
        <v>0</v>
      </c>
    </row>
    <row r="17" spans="3:10" ht="15.75">
      <c r="C17" s="50"/>
      <c r="D17" s="10" t="s">
        <v>400</v>
      </c>
      <c r="E17" s="47" t="str">
        <f>IF('24'!G11=TRUE,"Half DR, round down",IF('24'!G12=TRUE,"Half DR, round up","-"))</f>
        <v>-</v>
      </c>
      <c r="G17" s="155">
        <f>IF(OR(E17="Half DR, round up",E17="Half DR, round down"),2,"")</f>
      </c>
      <c r="H17" s="65"/>
      <c r="I17" s="92">
        <f>IF(E17="Half DR, round up",ROUNDUP(G18/2,0),IF(E17="Half DR, round down",ROUNDDOWN(G18/2,0),G18))</f>
        <v>0</v>
      </c>
      <c r="J17" s="34"/>
    </row>
    <row r="18" spans="3:9" ht="15.75">
      <c r="C18" s="41"/>
      <c r="D18" s="16"/>
      <c r="E18" s="10"/>
      <c r="G18" s="92">
        <f>IF(AND(ISNUMBER(G6),J19=0),0,IF(AND(ISBLANK(G6),J19=0),0,J19))</f>
        <v>0</v>
      </c>
      <c r="H18" s="65"/>
      <c r="I18" s="65"/>
    </row>
    <row r="19" spans="3:10" ht="15.75">
      <c r="C19" s="41"/>
      <c r="D19" s="16"/>
      <c r="E19" s="10" t="s">
        <v>415</v>
      </c>
      <c r="G19" s="90">
        <f>IF(I17&lt;&gt;G18,I17,G18)</f>
        <v>0</v>
      </c>
      <c r="H19" s="65"/>
      <c r="I19" s="27"/>
      <c r="J19" s="41">
        <f>IF(ISNUMBER(J16),J16,"")</f>
        <v>0</v>
      </c>
    </row>
    <row r="20" spans="3:9" ht="15.75">
      <c r="C20" s="41"/>
      <c r="D20" s="16"/>
      <c r="E20" s="10"/>
      <c r="G20" s="92" t="e">
        <f>IF(G4-G19&lt;=0,0,G4-G19)</f>
        <v>#VALUE!</v>
      </c>
      <c r="H20" s="65"/>
      <c r="I20" s="79"/>
    </row>
    <row r="21" spans="3:9" ht="15.75">
      <c r="C21" s="41"/>
      <c r="D21" s="16"/>
      <c r="E21" s="10" t="s">
        <v>405</v>
      </c>
      <c r="G21" s="77">
        <f>IF(ISNUMBER(G20),G20,"")</f>
      </c>
      <c r="H21" s="80"/>
      <c r="I21" s="27"/>
    </row>
    <row r="22" spans="3:7" ht="15.75">
      <c r="C22" s="41"/>
      <c r="D22" s="16"/>
      <c r="E22" s="16"/>
      <c r="G22" s="41"/>
    </row>
    <row r="23" spans="3:5" ht="15.75">
      <c r="C23" s="41"/>
      <c r="D23" s="16"/>
      <c r="E23" s="16"/>
    </row>
    <row r="24" spans="3:4" ht="15.75">
      <c r="C24" s="41"/>
      <c r="D24" s="16"/>
    </row>
    <row r="25" spans="3:5" ht="15.75">
      <c r="C25" s="41"/>
      <c r="D25" s="16"/>
      <c r="E25" s="16"/>
    </row>
    <row r="26" spans="3:5" ht="15.75">
      <c r="C26" s="41"/>
      <c r="D26" s="16"/>
      <c r="E26" s="16"/>
    </row>
    <row r="27" spans="3:5" ht="15.75">
      <c r="C27" s="41"/>
      <c r="D27" s="41"/>
      <c r="E27" s="16"/>
    </row>
    <row r="28" spans="3:5" ht="15.75">
      <c r="C28" s="41"/>
      <c r="D28" s="16"/>
      <c r="E28" s="16"/>
    </row>
  </sheetData>
  <mergeCells count="1">
    <mergeCell ref="C2:E2"/>
  </mergeCells>
  <hyperlinks>
    <hyperlink ref="G2" location="'31'!A1" display="[31]"/>
  </hyperlinks>
  <printOptions/>
  <pageMargins left="0.75" right="0.75" top="1" bottom="1" header="0.5" footer="0.5"/>
  <pageSetup horizontalDpi="300" verticalDpi="300" orientation="portrait" r:id="rId2"/>
  <ignoredErrors>
    <ignoredError sqref="G20" evalError="1"/>
  </ignoredErrors>
  <legacyDrawing r:id="rId1"/>
</worksheet>
</file>

<file path=xl/worksheets/sheet32.xml><?xml version="1.0" encoding="utf-8"?>
<worksheet xmlns="http://schemas.openxmlformats.org/spreadsheetml/2006/main" xmlns:r="http://schemas.openxmlformats.org/officeDocument/2006/relationships">
  <sheetPr codeName="Sheet42"/>
  <dimension ref="A1:K15"/>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15.75" customHeight="1">
      <c r="A2" s="9" t="s">
        <v>417</v>
      </c>
      <c r="B2" s="9"/>
      <c r="C2" s="129" t="s">
        <v>421</v>
      </c>
      <c r="D2" s="140"/>
      <c r="E2" s="141"/>
      <c r="F2" s="35"/>
      <c r="G2" s="33" t="s">
        <v>418</v>
      </c>
      <c r="I2" s="82">
        <f>IF(AND(ISNUMBER(G8),G8&gt;0),"t","")</f>
      </c>
      <c r="J2" s="53"/>
    </row>
    <row r="3" spans="1:10" ht="31.5" customHeight="1">
      <c r="A3" s="9"/>
      <c r="B3" s="9"/>
      <c r="C3" s="129" t="s">
        <v>422</v>
      </c>
      <c r="D3" s="130"/>
      <c r="E3" s="131"/>
      <c r="F3" s="35"/>
      <c r="G3" s="33" t="s">
        <v>419</v>
      </c>
      <c r="I3" s="82">
        <f>IF(AND(ISNUMBER(G8),G8=0),"t","")</f>
      </c>
      <c r="J3" s="53"/>
    </row>
    <row r="4" spans="1:10" ht="15.75" customHeight="1">
      <c r="A4" s="9"/>
      <c r="B4" s="9"/>
      <c r="C4" s="129" t="s">
        <v>25</v>
      </c>
      <c r="D4" s="130"/>
      <c r="E4" s="131"/>
      <c r="F4" s="35"/>
      <c r="G4" s="33" t="s">
        <v>24</v>
      </c>
      <c r="I4" s="82">
        <f>IF(AND(ISNUMBER(G8),G8&lt;0),"t","")</f>
      </c>
      <c r="J4" s="53"/>
    </row>
    <row r="5" spans="1:10" ht="15.75">
      <c r="A5" s="9"/>
      <c r="B5" s="9"/>
      <c r="C5" s="9"/>
      <c r="E5" s="10" t="str">
        <f>IF('26'!E7="Dodge:","Dodge Roll:",IF('26'!E7="Block:","Block Roll:",IF('26'!E7="Parry:","Parry Roll:","Active Defense Roll:")))</f>
        <v>Active Defense Roll:</v>
      </c>
      <c r="G5" s="72">
        <f>IF('26'!G11=0,"",'26'!G11)</f>
      </c>
      <c r="I5" s="10" t="str">
        <f>'25'!I4</f>
        <v>Effective Active Defense:</v>
      </c>
      <c r="J5" s="72">
        <f>'25'!J4</f>
      </c>
    </row>
    <row r="6" spans="3:10" ht="15.75">
      <c r="C6" s="16"/>
      <c r="D6" s="16"/>
      <c r="E6" s="10" t="s">
        <v>404</v>
      </c>
      <c r="G6" s="89">
        <f>'30'!G4</f>
      </c>
      <c r="I6" s="32">
        <f>IF('29'!G6="choose","",'29'!G6)</f>
      </c>
      <c r="J6" s="85"/>
    </row>
    <row r="7" spans="3:7" ht="15.75">
      <c r="C7" s="16"/>
      <c r="D7" s="16"/>
      <c r="E7" s="10" t="s">
        <v>415</v>
      </c>
      <c r="G7" s="90">
        <f>'30'!G19</f>
        <v>0</v>
      </c>
    </row>
    <row r="8" spans="3:9" ht="15.75">
      <c r="C8" s="55"/>
      <c r="D8" s="16"/>
      <c r="E8" s="10" t="s">
        <v>405</v>
      </c>
      <c r="G8" s="77">
        <f>'30'!G21</f>
      </c>
      <c r="H8" s="65"/>
      <c r="I8" s="65"/>
    </row>
    <row r="9" spans="3:9" ht="15.75">
      <c r="C9" s="55"/>
      <c r="D9" s="16"/>
      <c r="G9" s="78"/>
      <c r="H9" s="65"/>
      <c r="I9" s="79"/>
    </row>
    <row r="10" spans="3:5" ht="15.75">
      <c r="C10" s="41"/>
      <c r="D10" s="16"/>
      <c r="E10" s="16"/>
    </row>
    <row r="11" spans="3:4" ht="15.75">
      <c r="C11" s="41"/>
      <c r="D11" s="16"/>
    </row>
    <row r="12" spans="3:5" ht="15.75">
      <c r="C12" s="41"/>
      <c r="D12" s="16"/>
      <c r="E12" s="16"/>
    </row>
    <row r="13" spans="3:5" ht="15.75">
      <c r="C13" s="41"/>
      <c r="D13" s="16"/>
      <c r="E13" s="16"/>
    </row>
    <row r="14" spans="3:5" ht="15.75">
      <c r="C14" s="41"/>
      <c r="D14" s="41"/>
      <c r="E14" s="16"/>
    </row>
    <row r="15" spans="3:5" ht="15.75">
      <c r="C15" s="41"/>
      <c r="D15" s="16"/>
      <c r="E15" s="16"/>
    </row>
  </sheetData>
  <mergeCells count="3">
    <mergeCell ref="C2:E2"/>
    <mergeCell ref="C3:E3"/>
    <mergeCell ref="C4:E4"/>
  </mergeCells>
  <hyperlinks>
    <hyperlink ref="G2" location="'33'!A1" display="[33]"/>
    <hyperlink ref="G3" location="'32'!A1" display="[32]"/>
    <hyperlink ref="G4" location="'49'!A1" display="[49]"/>
  </hyperlinks>
  <printOptions/>
  <pageMargins left="0.75" right="0.75" top="1" bottom="1" header="0.5" footer="0.5"/>
  <pageSetup horizontalDpi="300" verticalDpi="300" orientation="portrait" r:id="rId1"/>
  <ignoredErrors>
    <ignoredError sqref="I3" formula="1"/>
  </ignoredErrors>
</worksheet>
</file>

<file path=xl/worksheets/sheet33.xml><?xml version="1.0" encoding="utf-8"?>
<worksheet xmlns="http://schemas.openxmlformats.org/spreadsheetml/2006/main" xmlns:r="http://schemas.openxmlformats.org/officeDocument/2006/relationships">
  <sheetPr codeName="Sheet43"/>
  <dimension ref="A1:K14"/>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66" customHeight="1">
      <c r="A2" s="9" t="s">
        <v>419</v>
      </c>
      <c r="B2" s="9"/>
      <c r="C2" s="129" t="s">
        <v>423</v>
      </c>
      <c r="D2" s="140"/>
      <c r="E2" s="141"/>
      <c r="F2" s="35"/>
      <c r="G2" s="33" t="s">
        <v>418</v>
      </c>
      <c r="I2" s="82">
        <f>IF(G9&gt;0,"t","")</f>
      </c>
      <c r="J2" s="53"/>
    </row>
    <row r="3" spans="1:10" ht="15.75" customHeight="1">
      <c r="A3" s="9"/>
      <c r="B3" s="9"/>
      <c r="C3" s="129" t="s">
        <v>41</v>
      </c>
      <c r="D3" s="130"/>
      <c r="E3" s="131"/>
      <c r="F3" s="35"/>
      <c r="G3" s="33" t="s">
        <v>419</v>
      </c>
      <c r="I3" s="82" t="str">
        <f>IF(G9&lt;=0,"t","")</f>
        <v>t</v>
      </c>
      <c r="J3" s="53"/>
    </row>
    <row r="4" spans="1:10" ht="15.75">
      <c r="A4" s="9"/>
      <c r="B4" s="9"/>
      <c r="C4" s="9"/>
      <c r="E4" s="10" t="str">
        <f>IF('26'!E7="Dodge:","Dodge Roll:",IF('26'!E7="Block:","Block Roll:",IF('26'!E7="Parry:","Parry Roll:","Active Defense Roll:")))</f>
        <v>Active Defense Roll:</v>
      </c>
      <c r="G4" s="72">
        <f>IF('26'!G11=0,"",'26'!G11)</f>
      </c>
      <c r="I4" s="10" t="str">
        <f>'25'!I4</f>
        <v>Effective Active Defense:</v>
      </c>
      <c r="J4" s="72">
        <f>'25'!J4</f>
      </c>
    </row>
    <row r="5" spans="3:10" ht="15.75">
      <c r="C5" s="16"/>
      <c r="D5" s="16"/>
      <c r="E5" s="10" t="s">
        <v>404</v>
      </c>
      <c r="G5" s="89">
        <f>'30'!G4</f>
      </c>
      <c r="I5" s="32">
        <f>IF('29'!G6="choose","",'29'!G6)</f>
      </c>
      <c r="J5" s="85"/>
    </row>
    <row r="6" spans="3:7" ht="15.75">
      <c r="C6" s="16"/>
      <c r="D6" s="16"/>
      <c r="E6" s="10" t="s">
        <v>415</v>
      </c>
      <c r="G6" s="90">
        <f>'30'!G19</f>
        <v>0</v>
      </c>
    </row>
    <row r="7" spans="3:11" ht="15.75">
      <c r="C7" s="55"/>
      <c r="D7" s="16"/>
      <c r="E7" s="10" t="s">
        <v>405</v>
      </c>
      <c r="G7" s="77">
        <f>'30'!G21</f>
      </c>
      <c r="H7" s="65"/>
      <c r="I7" s="92" t="str">
        <f>IF(OR(I5="Huge Piercing (pi++)",I5="Large Piercing (pi+)",I5="Piercing (pi)",I5="Small Piercing (pi-)",I5="Cutting (cut)",I5="Impaling (imp)"),10,"-")</f>
        <v>-</v>
      </c>
      <c r="J7" s="41" t="str">
        <f>IF(I5="Crushing (cr)",5,"-")</f>
        <v>-</v>
      </c>
      <c r="K7" s="41"/>
    </row>
    <row r="8" spans="3:11" ht="15.75">
      <c r="C8" s="55"/>
      <c r="D8" s="16"/>
      <c r="G8" s="78"/>
      <c r="H8" s="65"/>
      <c r="I8" s="92" t="str">
        <f>IF(AND(G7=0,I7=10),10,"No Blunt")</f>
        <v>No Blunt</v>
      </c>
      <c r="J8" s="92" t="str">
        <f>IF(AND(G7=0,J7=5),5,"No Blunt")</f>
        <v>No Blunt</v>
      </c>
      <c r="K8" s="41" t="str">
        <f>IF(I8=10,10,IF(J8=5,5,"No Blunt"))</f>
        <v>No Blunt</v>
      </c>
    </row>
    <row r="9" spans="3:9" ht="15.75">
      <c r="C9" s="41"/>
      <c r="D9" s="16"/>
      <c r="E9" s="10" t="s">
        <v>420</v>
      </c>
      <c r="G9" s="97">
        <f>IF(K8=10,ROUNDDOWN(G5/10,0),IF(K8=5,ROUNDDOWN(G5/5,0),0))</f>
        <v>0</v>
      </c>
      <c r="I9" s="27">
        <f>IF(K8=10,"(1 point of blunt trauma per 10 full points of damage)",IF(K8=5,"(1 point of blunt trauma per 5 full points of damage)",""))</f>
      </c>
    </row>
    <row r="10" spans="3:4" ht="15.75">
      <c r="C10" s="41"/>
      <c r="D10" s="16"/>
    </row>
    <row r="11" spans="3:5" ht="15.75">
      <c r="C11" s="41"/>
      <c r="D11" s="16"/>
      <c r="E11" s="16"/>
    </row>
    <row r="12" spans="3:5" ht="15.75">
      <c r="C12" s="41"/>
      <c r="D12" s="16"/>
      <c r="E12" s="16"/>
    </row>
    <row r="13" spans="3:5" ht="15.75">
      <c r="C13" s="41"/>
      <c r="D13" s="41"/>
      <c r="E13" s="16"/>
    </row>
    <row r="14" spans="3:5" ht="15.75">
      <c r="C14" s="41"/>
      <c r="D14" s="16"/>
      <c r="E14" s="16"/>
    </row>
  </sheetData>
  <mergeCells count="2">
    <mergeCell ref="C2:E2"/>
    <mergeCell ref="C3:E3"/>
  </mergeCells>
  <hyperlinks>
    <hyperlink ref="G2" location="'33'!A1" display="[33]"/>
    <hyperlink ref="G3" location="'32'!A1" display="[32]"/>
  </hyperlinks>
  <printOptions/>
  <pageMargins left="0.75" right="0.75" top="1" bottom="1" header="0.5" footer="0.5"/>
  <pageSetup horizontalDpi="300" verticalDpi="300" orientation="portrait" r:id="rId1"/>
</worksheet>
</file>

<file path=xl/worksheets/sheet34.xml><?xml version="1.0" encoding="utf-8"?>
<worksheet xmlns="http://schemas.openxmlformats.org/spreadsheetml/2006/main" xmlns:r="http://schemas.openxmlformats.org/officeDocument/2006/relationships">
  <sheetPr codeName="Sheet44"/>
  <dimension ref="A1:K19"/>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109.5" customHeight="1">
      <c r="A2" s="9" t="s">
        <v>418</v>
      </c>
      <c r="B2" s="9"/>
      <c r="C2" s="129" t="s">
        <v>434</v>
      </c>
      <c r="D2" s="140"/>
      <c r="E2" s="141"/>
      <c r="F2" s="35"/>
      <c r="G2" s="33" t="s">
        <v>430</v>
      </c>
      <c r="I2" s="82">
        <f>IF(OR(E13="Crushing (cr)",AND(E13="Cutting (cut)",G7&lt;=0)),"t","")</f>
      </c>
      <c r="J2" s="53"/>
    </row>
    <row r="3" spans="1:10" ht="15.75" customHeight="1">
      <c r="A3" s="9"/>
      <c r="B3" s="9"/>
      <c r="C3" s="129" t="s">
        <v>429</v>
      </c>
      <c r="D3" s="130"/>
      <c r="E3" s="131"/>
      <c r="F3" s="35"/>
      <c r="G3" s="33" t="s">
        <v>436</v>
      </c>
      <c r="I3" s="82" t="str">
        <f>IF(I2&lt;&gt;"t","t","")</f>
        <v>t</v>
      </c>
      <c r="J3" s="53"/>
    </row>
    <row r="4" spans="1:10" ht="15.75">
      <c r="A4" s="9"/>
      <c r="B4" s="9"/>
      <c r="C4" s="9"/>
      <c r="E4" s="10" t="str">
        <f>IF('26'!E7="Dodge:","Dodge Roll:",IF('26'!E7="Block:","Block Roll:",IF('26'!E7="Parry:","Parry Roll:","Active Defense Roll:")))</f>
        <v>Active Defense Roll:</v>
      </c>
      <c r="G4" s="72">
        <f>IF('26'!G11=0,"",'26'!G11)</f>
      </c>
      <c r="I4" s="10" t="str">
        <f>'25'!I4</f>
        <v>Effective Active Defense:</v>
      </c>
      <c r="J4" s="72">
        <f>'25'!J4</f>
      </c>
    </row>
    <row r="5" spans="3:10" ht="15.75">
      <c r="C5" s="16"/>
      <c r="D5" s="16"/>
      <c r="E5" s="10" t="s">
        <v>404</v>
      </c>
      <c r="G5" s="89">
        <f>'30'!G4</f>
      </c>
      <c r="I5" s="32">
        <f>IF('29'!G6="choose","",'29'!G6)</f>
      </c>
      <c r="J5" s="85"/>
    </row>
    <row r="6" spans="3:7" ht="15.75">
      <c r="C6" s="16"/>
      <c r="D6" s="16"/>
      <c r="E6" s="10" t="s">
        <v>415</v>
      </c>
      <c r="G6" s="90">
        <f>'30'!G19</f>
        <v>0</v>
      </c>
    </row>
    <row r="7" spans="3:9" ht="15.75">
      <c r="C7" s="55"/>
      <c r="D7" s="16"/>
      <c r="E7" s="10" t="str">
        <f>IF('32'!G9&lt;&gt;0,"Blunt Trauma Damage:","Penetrating Damage:")</f>
        <v>Penetrating Damage:</v>
      </c>
      <c r="G7" s="77">
        <f>IF('32'!G9&lt;&gt;0,'32'!G9,'31'!G8)</f>
      </c>
      <c r="H7" s="65"/>
      <c r="I7" s="78"/>
    </row>
    <row r="8" spans="3:9" ht="15.75">
      <c r="C8" s="50" t="s">
        <v>424</v>
      </c>
      <c r="G8" s="78"/>
      <c r="H8" s="65"/>
      <c r="I8" s="79"/>
    </row>
    <row r="9" spans="3:9" ht="15.75">
      <c r="C9" s="16"/>
      <c r="E9" s="16" t="s">
        <v>425</v>
      </c>
      <c r="G9" s="47">
        <f>IF(I9=TRUE,E9,"")</f>
      </c>
      <c r="I9" s="34" t="b">
        <v>0</v>
      </c>
    </row>
    <row r="10" spans="3:9" ht="15.75">
      <c r="C10" s="16"/>
      <c r="E10" s="16" t="s">
        <v>426</v>
      </c>
      <c r="G10" s="47">
        <f>IF(I10=TRUE,E10,"")</f>
      </c>
      <c r="I10" s="34" t="b">
        <v>0</v>
      </c>
    </row>
    <row r="11" spans="3:9" ht="15.75">
      <c r="C11" s="16"/>
      <c r="E11" s="16" t="s">
        <v>427</v>
      </c>
      <c r="G11" s="47">
        <f>IF(I11=TRUE,E11,"")</f>
      </c>
      <c r="I11" s="34" t="b">
        <v>0</v>
      </c>
    </row>
    <row r="12" spans="3:9" ht="15.75">
      <c r="C12" s="50" t="s">
        <v>428</v>
      </c>
      <c r="E12" s="16"/>
      <c r="I12" s="41">
        <f>IF(G9="x2",2,IF(G10="x3",3,IF(G11="x4",4,1)))</f>
        <v>1</v>
      </c>
    </row>
    <row r="13" spans="3:9" ht="15.75">
      <c r="C13" s="16"/>
      <c r="E13" s="16">
        <f>I5</f>
      </c>
      <c r="G13" s="47" t="str">
        <f>IF(G15&lt;&gt;"-","-",I13)</f>
        <v>x1</v>
      </c>
      <c r="I13" s="41" t="str">
        <f>IF(E13="Small Piercing (pi-)","x0.5",IF(E13="Cutting (cut)","x1.5",IF(E13="Large Piercing (pi+)","x1.5",IF(E13="Impaling (imp)","x2",IF(E13="Huge Piercing (pi++)","x2","x1")))))</f>
        <v>x1</v>
      </c>
    </row>
    <row r="14" spans="3:9" ht="15.75">
      <c r="C14" s="50" t="s">
        <v>231</v>
      </c>
      <c r="E14" s="16"/>
      <c r="G14" s="41" t="str">
        <f>IF(G15&lt;&gt;"-",G15,G13)</f>
        <v>x1</v>
      </c>
      <c r="I14" s="41">
        <f>IF(G14="x0.5",0.5,IF(G14="x1",1,IF(G14="x1.5",1.5,IF(G14="x2",2,IF(G14="x3",3,IF(G14="x4",4,1))))))</f>
        <v>1</v>
      </c>
    </row>
    <row r="15" spans="5:9" ht="15.75">
      <c r="E15" s="16" t="str">
        <f>K1</f>
        <v>Torso</v>
      </c>
      <c r="G15" s="47" t="str">
        <f>IF(I15="x2",I15,IF(I15="x3",I15,IF(I16="x4",I16,IF(I17="x1.5",I17,IF(I18="x1.5",I18,IF(I18="x2",I18,IF(I19="x1",I19,"-")))))))</f>
        <v>-</v>
      </c>
      <c r="I15" s="41" t="str">
        <f>IF(AND(E15="Vitals",OR(E13="Impaling (imp)",E13="Small Piercing (pi-)",E13="Piercing (pi)",E13="Large Piercing (pi+)",E13="Huge Piercing (pi++)")),"x3",IF(AND(E15="Vitals",E13="Burning-Beam (burn)"),"x2","no mod"))</f>
        <v>no mod</v>
      </c>
    </row>
    <row r="16" ht="15.75">
      <c r="I16" s="41" t="str">
        <f>IF(AND(E15="Skull",E13&lt;&gt;"Toxic (tox)"),"x4","no mod")</f>
        <v>no mod</v>
      </c>
    </row>
    <row r="17" spans="5:9" ht="15.75">
      <c r="E17" s="10" t="s">
        <v>437</v>
      </c>
      <c r="G17" s="77">
        <f>IF(E19&lt;1,1,E19)</f>
      </c>
      <c r="I17" s="41" t="str">
        <f>IF(AND(E15="Face",E13="Corrosion (cor)"),"x1.5","no mod")</f>
        <v>no mod</v>
      </c>
    </row>
    <row r="18" spans="7:9" ht="15.75">
      <c r="G18" s="41" t="e">
        <f>ROUNDDOWN(G7*I12*I14,0)</f>
        <v>#VALUE!</v>
      </c>
      <c r="I18" s="41" t="str">
        <f>IF(AND(E15="Neck",OR(E13="Crushing (cr)",E13="Corrosion (cor)")),"x1.5",IF(AND(E15="Neck",E13="Cutting (cut)"),"x2","no mod"))</f>
        <v>no mod</v>
      </c>
    </row>
    <row r="19" spans="5:9" ht="15.75">
      <c r="E19" s="34">
        <f>IF(ISNUMBER(G19),G19,"")</f>
      </c>
      <c r="G19" s="41" t="e">
        <f>IF(E7="Blunt Trauma Damage:",G7,G18)</f>
        <v>#VALUE!</v>
      </c>
      <c r="I19" s="41" t="str">
        <f>IF(AND(OR(E15="Hand",E15="Foot",E15="Left Leg",E15="Right Leg",E15="Left Arm",E15="Right Arm"),OR(E13="Impaling (imp)",E13="Large Piercing (pi+)",E13="Huge Piercing (pi++)")),"x1","no mod")</f>
        <v>no mod</v>
      </c>
    </row>
  </sheetData>
  <mergeCells count="2">
    <mergeCell ref="C2:E2"/>
    <mergeCell ref="C3:E3"/>
  </mergeCells>
  <hyperlinks>
    <hyperlink ref="G2" location="'34'!A1" display="[34]"/>
    <hyperlink ref="G3" location="'35'!A1" display="[35]"/>
  </hyperlinks>
  <printOptions/>
  <pageMargins left="0.75" right="0.75" top="1" bottom="1" header="0.5" footer="0.5"/>
  <pageSetup horizontalDpi="300" verticalDpi="300" orientation="portrait" r:id="rId2"/>
  <ignoredErrors>
    <ignoredError sqref="G18:G19" evalError="1"/>
  </ignoredErrors>
  <legacyDrawing r:id="rId1"/>
</worksheet>
</file>

<file path=xl/worksheets/sheet35.xml><?xml version="1.0" encoding="utf-8"?>
<worksheet xmlns="http://schemas.openxmlformats.org/spreadsheetml/2006/main" xmlns:r="http://schemas.openxmlformats.org/officeDocument/2006/relationships">
  <sheetPr codeName="Sheet46"/>
  <dimension ref="A1:K10"/>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94.5" customHeight="1">
      <c r="A2" s="9" t="s">
        <v>430</v>
      </c>
      <c r="B2" s="9"/>
      <c r="C2" s="129" t="s">
        <v>435</v>
      </c>
      <c r="D2" s="140"/>
      <c r="E2" s="141"/>
      <c r="F2" s="35"/>
      <c r="G2" s="33" t="s">
        <v>436</v>
      </c>
      <c r="I2" s="82"/>
      <c r="J2" s="53"/>
    </row>
    <row r="3" spans="1:10" ht="15.75">
      <c r="A3" s="9"/>
      <c r="B3" s="9"/>
      <c r="C3" s="9"/>
      <c r="E3" s="10" t="str">
        <f>IF('26'!E7="Dodge:","Dodge Roll:",IF('26'!E7="Block:","Block Roll:",IF('26'!E7="Parry:","Parry Roll:","Active Defense Roll:")))</f>
        <v>Active Defense Roll:</v>
      </c>
      <c r="G3" s="72">
        <f>IF('26'!G11=0,"",'26'!G11)</f>
      </c>
      <c r="I3" s="10" t="str">
        <f>'25'!I4</f>
        <v>Effective Active Defense:</v>
      </c>
      <c r="J3" s="72">
        <f>'25'!J4</f>
      </c>
    </row>
    <row r="4" spans="3:10" ht="15.75">
      <c r="C4" s="16"/>
      <c r="D4" s="16"/>
      <c r="E4" s="10" t="s">
        <v>404</v>
      </c>
      <c r="G4" s="89">
        <f>'30'!G4</f>
      </c>
      <c r="I4" s="32">
        <f>IF('29'!G6="choose","",'29'!G6)</f>
      </c>
      <c r="J4" s="85"/>
    </row>
    <row r="5" spans="3:7" ht="15.75">
      <c r="C5" s="16"/>
      <c r="D5" s="16"/>
      <c r="E5" s="10" t="s">
        <v>415</v>
      </c>
      <c r="G5" s="90">
        <f>'30'!G19</f>
        <v>0</v>
      </c>
    </row>
    <row r="6" spans="3:9" ht="15.75">
      <c r="C6" s="55"/>
      <c r="D6" s="16"/>
      <c r="E6" s="10" t="s">
        <v>437</v>
      </c>
      <c r="G6" s="77">
        <f>'33'!G17</f>
      </c>
      <c r="H6" s="65"/>
      <c r="I6" s="65"/>
    </row>
    <row r="8" spans="5:9" ht="15.75">
      <c r="E8" s="10" t="s">
        <v>431</v>
      </c>
      <c r="G8" s="95" t="s">
        <v>56</v>
      </c>
      <c r="I8" s="41">
        <f>IF(G8="choose",0,G8-2)</f>
        <v>0</v>
      </c>
    </row>
    <row r="9" spans="5:7" ht="15.75">
      <c r="E9" s="10" t="s">
        <v>432</v>
      </c>
      <c r="G9" s="96">
        <f>IF(I8=0,0,ROUNDDOWN(G4/I8,0))</f>
        <v>0</v>
      </c>
    </row>
    <row r="10" spans="5:7" ht="15.75">
      <c r="E10" s="10" t="s">
        <v>433</v>
      </c>
      <c r="G10" s="47">
        <f>IF(G9=0,"",IF(G9=1,0,IF(G9=2,"-1",IF(G9=3,"-2",IF(G9=4,"-3",IF(G9=5,"-4",IF(G9=6,"-5",IF(G9=7,"-6",""))))))))</f>
      </c>
    </row>
  </sheetData>
  <mergeCells count="1">
    <mergeCell ref="C2:E2"/>
  </mergeCells>
  <dataValidations count="1">
    <dataValidation type="list" allowBlank="1" showInputMessage="1" showErrorMessage="1" sqref="G8">
      <formula1>"choose,3,4,5,6,7,8,9,10,11,12,13,14,15,16,17,18,19,20,21,22,23,24,25,26,27,28,29,30"</formula1>
    </dataValidation>
  </dataValidations>
  <hyperlinks>
    <hyperlink ref="G2" location="'35'!A1" display="[35]"/>
  </hyperlinks>
  <printOptions/>
  <pageMargins left="0.75" right="0.75" top="1" bottom="1" header="0.5" footer="0.5"/>
  <pageSetup horizontalDpi="300" verticalDpi="300" orientation="portrait" r:id="rId1"/>
</worksheet>
</file>

<file path=xl/worksheets/sheet36.xml><?xml version="1.0" encoding="utf-8"?>
<worksheet xmlns="http://schemas.openxmlformats.org/spreadsheetml/2006/main" xmlns:r="http://schemas.openxmlformats.org/officeDocument/2006/relationships">
  <sheetPr codeName="Sheet47"/>
  <dimension ref="A1:K17"/>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126.75" customHeight="1">
      <c r="A2" s="9" t="s">
        <v>436</v>
      </c>
      <c r="B2" s="9"/>
      <c r="C2" s="129" t="s">
        <v>446</v>
      </c>
      <c r="D2" s="140"/>
      <c r="E2" s="141"/>
      <c r="F2" s="35"/>
      <c r="G2" s="33" t="s">
        <v>447</v>
      </c>
      <c r="I2" s="82"/>
      <c r="J2" s="53"/>
    </row>
    <row r="3" spans="1:10" ht="15.75">
      <c r="A3" s="9"/>
      <c r="B3" s="9"/>
      <c r="C3" s="9"/>
      <c r="E3" s="10" t="str">
        <f>IF('26'!E7="Dodge:","Dodge Roll:",IF('26'!E7="Block:","Block Roll:",IF('26'!E7="Parry:","Parry Roll:","Active Defense Roll:")))</f>
        <v>Active Defense Roll:</v>
      </c>
      <c r="G3" s="72">
        <f>IF('26'!G11=0,"",'26'!G11)</f>
      </c>
      <c r="I3" s="10" t="str">
        <f>'25'!I4</f>
        <v>Effective Active Defense:</v>
      </c>
      <c r="J3" s="72">
        <f>'25'!J4</f>
      </c>
    </row>
    <row r="4" spans="3:10" ht="15.75">
      <c r="C4" s="16"/>
      <c r="D4" s="16"/>
      <c r="E4" s="10" t="s">
        <v>404</v>
      </c>
      <c r="G4" s="89">
        <f>'30'!G4</f>
      </c>
      <c r="I4" s="32">
        <f>IF('29'!G6="choose","",'29'!G6)</f>
      </c>
      <c r="J4" s="85"/>
    </row>
    <row r="5" spans="3:7" ht="15.75">
      <c r="C5" s="41" t="str">
        <f>IF(AND(K1="Eye",G6&gt;=K15),"Eye destroyed",IF(AND(K1="Eye",G6&gt;=J15),"Eye crippled","-"))</f>
        <v>-</v>
      </c>
      <c r="D5" s="16"/>
      <c r="E5" s="10" t="s">
        <v>415</v>
      </c>
      <c r="G5" s="90">
        <f>'30'!G19</f>
        <v>0</v>
      </c>
    </row>
    <row r="6" spans="3:9" ht="15.75">
      <c r="C6" s="41" t="str">
        <f>IF(AND(OR(K1="Left Leg",K1="Left Arm",K1="Right Leg",K1="Right Arm"),G6&gt;=K16),"Limb destroyed",IF(AND(OR(K1="Left Leg",K1="Left Arm",K1="Right Leg",K1="Right Arm"),G6&gt;=J16),"Limb crippled","-"))</f>
        <v>-</v>
      </c>
      <c r="D6" s="16"/>
      <c r="E6" s="10" t="s">
        <v>437</v>
      </c>
      <c r="G6" s="77">
        <f>'33'!G17</f>
      </c>
      <c r="H6" s="65"/>
      <c r="I6" s="65"/>
    </row>
    <row r="7" spans="3:7" ht="15.75">
      <c r="C7" s="41" t="str">
        <f>IF(AND(OR(K1="Hand",K1="Foot"),G6&gt;=K17),"Extremity destroyed",IF(AND(OR(K1="Hand",K1="Foot"),G6&gt;=J17),"Extremity crippled","-"))</f>
        <v>-</v>
      </c>
      <c r="D7" s="16"/>
      <c r="E7" s="16"/>
      <c r="G7" s="41">
        <f>IF(G8="choose",0,G8)</f>
        <v>0</v>
      </c>
    </row>
    <row r="8" spans="3:9" ht="15.75">
      <c r="C8" s="16"/>
      <c r="D8" s="16"/>
      <c r="E8" s="10" t="s">
        <v>445</v>
      </c>
      <c r="G8" s="98" t="s">
        <v>56</v>
      </c>
      <c r="I8" s="99" t="str">
        <f>IF(G8="choose","t","")</f>
        <v>t</v>
      </c>
    </row>
    <row r="9" spans="5:9" ht="15.75">
      <c r="E9" s="10" t="s">
        <v>438</v>
      </c>
      <c r="G9" s="77">
        <f>IF(G8&lt;&gt;"choose",I9,G6)</f>
      </c>
      <c r="I9" s="41">
        <f>IF(OR(C6="Limb crippled",C6="Limb destroyed"),J16,IF(OR(C7="Extremity crippled",C7="Extremity destroyed"),J17,G6))</f>
      </c>
    </row>
    <row r="10" spans="5:7" ht="15.75">
      <c r="E10" s="10" t="s">
        <v>444</v>
      </c>
      <c r="G10" s="98">
        <f>IF(G8&lt;&gt;"choose",G7-G9,"")</f>
      </c>
    </row>
    <row r="11" ht="15.75">
      <c r="C11" s="74" t="s">
        <v>282</v>
      </c>
    </row>
    <row r="12" ht="15.75">
      <c r="C12" s="7" t="str">
        <f>IF(C5="Eye crippled","Target's eye has been crippled (B421 for full effects).",IF(C5="Eye destroyed","Target's eye has been destroyed (B421 for full effects).",IF(C6="Limb crippled","Target's limb (arm/leg) has been crippled (B421 for full effects).",IF(C6="Limb destroyed","Target's limb (arm/leg) has been destroyed (B421 for full effects).",IF(C7="Extremity crippled","Target's extremity (hand/foot) has been crippled (B421 for full effects).",IF(C7="Extremity destroyed","Target's extremity (hand/foot) has been destroyed (B421 for full effects).","No crippling wound inflicted."))))))</f>
        <v>No crippling wound inflicted.</v>
      </c>
    </row>
    <row r="13" ht="15.75">
      <c r="C13" s="7">
        <f>IF(C6="Limb crippled","Total damage reduced to the minimum required to cripple (more than HP/2).",IF(C6="Limb destroyed","Total damage reduced to the minimum required to cripple (more than HP/2).",IF(C7="Extremity crippled","Total damage reduced to the minimum required to cripple (more than HP/3).",IF(C7="Extremity destroyed","Total damage reduced to the minimum required to cripple (more than HP/3).",""))))</f>
      </c>
    </row>
    <row r="14" spans="9:11" ht="15.75">
      <c r="I14" s="34"/>
      <c r="J14" s="41" t="s">
        <v>440</v>
      </c>
      <c r="K14" s="41" t="s">
        <v>441</v>
      </c>
    </row>
    <row r="15" spans="9:11" ht="15.75">
      <c r="I15" s="41" t="s">
        <v>442</v>
      </c>
      <c r="J15" s="41">
        <f>IF(G8&lt;&gt;"choose",ROUNDDOWN(G7/10+1,0),400)</f>
        <v>400</v>
      </c>
      <c r="K15" s="41">
        <f>ROUNDDOWN(J15*2,0)</f>
        <v>800</v>
      </c>
    </row>
    <row r="16" spans="9:11" ht="15.75">
      <c r="I16" s="41" t="s">
        <v>439</v>
      </c>
      <c r="J16" s="41">
        <f>IF(G8&lt;&gt;"choose",ROUNDDOWN(G7/2+1,0),400)</f>
        <v>400</v>
      </c>
      <c r="K16" s="41">
        <f>ROUNDDOWN(J16*2,0)</f>
        <v>800</v>
      </c>
    </row>
    <row r="17" spans="9:11" ht="15.75">
      <c r="I17" s="41" t="s">
        <v>443</v>
      </c>
      <c r="J17" s="41">
        <f>IF(G8&lt;&gt;"choose",ROUNDDOWN(G7/3+1,0),400)</f>
        <v>400</v>
      </c>
      <c r="K17" s="41">
        <f>ROUNDDOWN(J17*2,0)</f>
        <v>800</v>
      </c>
    </row>
  </sheetData>
  <mergeCells count="1">
    <mergeCell ref="C2:E2"/>
  </mergeCells>
  <dataValidations count="1">
    <dataValidation type="list" allowBlank="1" showInputMessage="1" showErrorMessage="1" sqref="G8">
      <formula1>"choose,3,4,5,6,7,8,9,10,11,12,13,14,15,16,17,18,19,20,21,22,23,24,25,26,27,28,29,30"</formula1>
    </dataValidation>
  </dataValidations>
  <hyperlinks>
    <hyperlink ref="G2" location="'36'!A1" display="[36]"/>
  </hyperlinks>
  <printOptions/>
  <pageMargins left="0.75" right="0.75" top="1" bottom="1" header="0.5" footer="0.5"/>
  <pageSetup horizontalDpi="300" verticalDpi="300" orientation="portrait" r:id="rId1"/>
</worksheet>
</file>

<file path=xl/worksheets/sheet37.xml><?xml version="1.0" encoding="utf-8"?>
<worksheet xmlns="http://schemas.openxmlformats.org/spreadsheetml/2006/main" xmlns:r="http://schemas.openxmlformats.org/officeDocument/2006/relationships">
  <sheetPr codeName="Sheet48"/>
  <dimension ref="A1:K12"/>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61.5" customHeight="1">
      <c r="A2" s="9" t="s">
        <v>447</v>
      </c>
      <c r="B2" s="9"/>
      <c r="C2" s="129" t="s">
        <v>452</v>
      </c>
      <c r="D2" s="140"/>
      <c r="E2" s="141"/>
      <c r="F2" s="35"/>
      <c r="G2" s="33" t="s">
        <v>450</v>
      </c>
      <c r="I2" s="82">
        <f>IF(OR('35'!C12&lt;&gt;"No crippling wound inflicted.",G9&gt;C9,'24'!G13=TRUE),"t","")</f>
      </c>
      <c r="J2" s="53"/>
    </row>
    <row r="3" spans="1:10" ht="15.75" customHeight="1">
      <c r="A3" s="9"/>
      <c r="B3" s="9"/>
      <c r="C3" s="129" t="s">
        <v>449</v>
      </c>
      <c r="D3" s="130"/>
      <c r="E3" s="131"/>
      <c r="F3" s="35"/>
      <c r="G3" s="33" t="s">
        <v>454</v>
      </c>
      <c r="I3" s="82" t="str">
        <f>IF(I2&lt;&gt;"t","t","")</f>
        <v>t</v>
      </c>
      <c r="J3" s="53"/>
    </row>
    <row r="4" spans="1:10" ht="15.75">
      <c r="A4" s="9"/>
      <c r="B4" s="9"/>
      <c r="C4" s="9"/>
      <c r="E4" s="10" t="str">
        <f>IF('26'!E7="Dodge:","Dodge Roll:",IF('26'!E7="Block:","Block Roll:",IF('26'!E7="Parry:","Parry Roll:","Active Defense Roll:")))</f>
        <v>Active Defense Roll:</v>
      </c>
      <c r="G4" s="72">
        <f>IF('26'!G11=0,"",'26'!G11)</f>
      </c>
      <c r="I4" s="10" t="str">
        <f>'25'!I4</f>
        <v>Effective Active Defense:</v>
      </c>
      <c r="J4" s="72">
        <f>'25'!J4</f>
      </c>
    </row>
    <row r="5" spans="3:10" ht="15.75">
      <c r="C5" s="16"/>
      <c r="D5" s="16"/>
      <c r="E5" s="10" t="s">
        <v>404</v>
      </c>
      <c r="G5" s="89">
        <f>'30'!G4</f>
      </c>
      <c r="I5" s="32">
        <f>IF('29'!G6="choose","",'29'!G6)</f>
      </c>
      <c r="J5" s="85"/>
    </row>
    <row r="6" spans="3:7" ht="15.75">
      <c r="C6" s="41"/>
      <c r="D6" s="16"/>
      <c r="E6" s="10" t="s">
        <v>415</v>
      </c>
      <c r="G6" s="90">
        <f>'30'!G19</f>
        <v>0</v>
      </c>
    </row>
    <row r="7" spans="3:7" ht="15.75">
      <c r="C7" s="41"/>
      <c r="D7" s="16"/>
      <c r="E7" s="16"/>
      <c r="G7" s="41"/>
    </row>
    <row r="8" spans="3:9" ht="15.75">
      <c r="C8" s="16"/>
      <c r="D8" s="16"/>
      <c r="E8" s="10" t="s">
        <v>445</v>
      </c>
      <c r="G8" s="98" t="str">
        <f>'35'!G8</f>
        <v>choose</v>
      </c>
      <c r="I8" s="99"/>
    </row>
    <row r="9" spans="3:9" ht="15.75">
      <c r="C9" s="41">
        <f>IF(ISNUMBER(D9),D9,"")</f>
      </c>
      <c r="D9" s="41" t="e">
        <f>G8*0.5</f>
        <v>#VALUE!</v>
      </c>
      <c r="E9" s="10" t="s">
        <v>438</v>
      </c>
      <c r="G9" s="77">
        <f>'35'!G9</f>
      </c>
      <c r="I9" s="100">
        <f>IF('24'!G13=TRUE,"(major wound due to critical effect)",IF(I2="t","(major wound)",""))</f>
      </c>
    </row>
    <row r="10" spans="5:7" ht="15.75">
      <c r="E10" s="10" t="s">
        <v>444</v>
      </c>
      <c r="G10" s="98">
        <f>'35'!G10</f>
      </c>
    </row>
    <row r="11" spans="7:10" ht="15.75">
      <c r="G11" s="41">
        <f>IF(AND(ISNUMBER(G9),'24'!G14=TRUE),2*G9,G9)</f>
      </c>
      <c r="H11" s="34"/>
      <c r="I11" s="41">
        <f>IF(AND(ISNUMBER(G11),G11&gt;8,'24'!G14=TRUE),8,IF(AND(ISNUMBER(G11),G11&gt;4,'24'!G14=FALSE),4,G11))</f>
      </c>
      <c r="J11" s="16"/>
    </row>
    <row r="12" spans="5:9" ht="15.75">
      <c r="E12" s="10" t="s">
        <v>448</v>
      </c>
      <c r="G12" s="47">
        <f>IF(ISNUMBER(I11),0-I11,"")</f>
      </c>
      <c r="I12" s="27">
        <f>IF('24'!G14=TRUE,"(shock penalty doubled due to critical effect, maximum of 8)","")</f>
      </c>
    </row>
  </sheetData>
  <mergeCells count="2">
    <mergeCell ref="C2:E2"/>
    <mergeCell ref="C3:E3"/>
  </mergeCells>
  <hyperlinks>
    <hyperlink ref="G2" location="'37'!A1" display="[37]"/>
    <hyperlink ref="G3" location="'38'!A1" display="[38]"/>
  </hyperlinks>
  <printOptions/>
  <pageMargins left="0.75" right="0.75" top="1" bottom="1" header="0.5" footer="0.5"/>
  <pageSetup horizontalDpi="300" verticalDpi="300" orientation="portrait" r:id="rId1"/>
  <ignoredErrors>
    <ignoredError sqref="D9" evalError="1"/>
  </ignoredErrors>
</worksheet>
</file>

<file path=xl/worksheets/sheet38.xml><?xml version="1.0" encoding="utf-8"?>
<worksheet xmlns="http://schemas.openxmlformats.org/spreadsheetml/2006/main" xmlns:r="http://schemas.openxmlformats.org/officeDocument/2006/relationships">
  <sheetPr codeName="Sheet49"/>
  <dimension ref="A1:K17"/>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47.25" customHeight="1">
      <c r="A2" s="9" t="s">
        <v>450</v>
      </c>
      <c r="B2" s="9"/>
      <c r="C2" s="129" t="s">
        <v>453</v>
      </c>
      <c r="D2" s="140"/>
      <c r="E2" s="141"/>
      <c r="F2" s="35"/>
      <c r="G2" s="33" t="s">
        <v>454</v>
      </c>
      <c r="I2" s="82"/>
      <c r="J2" s="53"/>
    </row>
    <row r="3" spans="1:10" ht="15.75">
      <c r="A3" s="9"/>
      <c r="B3" s="9"/>
      <c r="C3" s="9"/>
      <c r="E3" s="10" t="str">
        <f>IF('26'!E7="Dodge:","Dodge Roll:",IF('26'!E7="Block:","Block Roll:",IF('26'!E7="Parry:","Parry Roll:","Active Defense Roll:")))</f>
        <v>Active Defense Roll:</v>
      </c>
      <c r="G3" s="72">
        <f>IF('26'!G11=0,"",'26'!G11)</f>
      </c>
      <c r="I3" s="10" t="str">
        <f>'25'!I4</f>
        <v>Effective Active Defense:</v>
      </c>
      <c r="J3" s="72">
        <f>'25'!J4</f>
      </c>
    </row>
    <row r="4" spans="3:10" ht="15.75">
      <c r="C4" s="16"/>
      <c r="D4" s="16"/>
      <c r="E4" s="10" t="s">
        <v>404</v>
      </c>
      <c r="G4" s="89">
        <f>'30'!G4</f>
      </c>
      <c r="I4" s="32">
        <f>IF('29'!G6="choose","",'29'!G6)</f>
      </c>
      <c r="J4" s="85"/>
    </row>
    <row r="5" spans="3:7" ht="15.75">
      <c r="C5" s="41"/>
      <c r="D5" s="16"/>
      <c r="E5" s="10" t="s">
        <v>415</v>
      </c>
      <c r="G5" s="90">
        <f>'30'!G19</f>
        <v>0</v>
      </c>
    </row>
    <row r="6" spans="3:7" ht="15.75">
      <c r="C6" s="41"/>
      <c r="D6" s="16"/>
      <c r="E6" s="16"/>
      <c r="G6" s="41"/>
    </row>
    <row r="7" spans="3:9" ht="15.75">
      <c r="C7" s="16"/>
      <c r="D7" s="16"/>
      <c r="E7" s="10" t="s">
        <v>445</v>
      </c>
      <c r="G7" s="98" t="str">
        <f>'35'!G8</f>
        <v>choose</v>
      </c>
      <c r="I7" s="99"/>
    </row>
    <row r="8" spans="4:9" ht="15.75">
      <c r="D8" s="41"/>
      <c r="E8" s="10" t="s">
        <v>438</v>
      </c>
      <c r="G8" s="77">
        <f>'35'!G9</f>
      </c>
      <c r="I8" s="100">
        <f>'36'!I9</f>
      </c>
    </row>
    <row r="9" spans="5:7" ht="15.75">
      <c r="E9" s="10" t="s">
        <v>444</v>
      </c>
      <c r="G9" s="98">
        <f>'35'!G10</f>
      </c>
    </row>
    <row r="10" spans="5:9" ht="15.75">
      <c r="E10" s="10" t="s">
        <v>448</v>
      </c>
      <c r="G10" s="47">
        <f>'36'!G12</f>
      </c>
      <c r="I10" s="41"/>
    </row>
    <row r="12" spans="5:9" ht="15.75">
      <c r="E12" s="10" t="s">
        <v>451</v>
      </c>
      <c r="G12" s="95" t="s">
        <v>56</v>
      </c>
      <c r="I12" s="41">
        <f>IF(G12="choose",0,G12)</f>
        <v>0</v>
      </c>
    </row>
    <row r="13" spans="4:9" ht="15.75">
      <c r="D13" s="10"/>
      <c r="E13" s="10" t="s">
        <v>274</v>
      </c>
      <c r="G13" s="47" t="s">
        <v>56</v>
      </c>
      <c r="I13" s="41">
        <f>IF(G13="choose","",G13)</f>
      </c>
    </row>
    <row r="14" spans="4:9" ht="15.75">
      <c r="D14" s="10" t="s">
        <v>385</v>
      </c>
      <c r="E14" s="34">
        <f ca="1">(ROUND(RAND()*(6-1)+1,0))+(ROUND(RAND()*(6-1)+1,0))+(ROUND(RAND()*(6-1)+1,0))</f>
        <v>15</v>
      </c>
      <c r="G14" s="47"/>
      <c r="I14" s="41">
        <f>IF(ISNUMBER(I13),I13,IF(ISNUMBER(G14),G14,""))</f>
      </c>
    </row>
    <row r="15" ht="15.75"/>
    <row r="16" ht="15.75">
      <c r="C16" s="69" t="s">
        <v>282</v>
      </c>
    </row>
    <row r="17" ht="15.75">
      <c r="C17" s="7">
        <f>IF(AND(ISNUMBER(I14),ISNUMBER(G12),I14&lt;=I12),"Target is not stunned.",IF(AND(ISNUMBER(I14),ISNUMBER(G12),I14&gt;I12),"Target is stunned and falls prone.",""))</f>
      </c>
    </row>
  </sheetData>
  <mergeCells count="1">
    <mergeCell ref="C2:E2"/>
  </mergeCells>
  <dataValidations count="2">
    <dataValidation type="list" allowBlank="1" showInputMessage="1" showErrorMessage="1" sqref="G12">
      <formula1>"choose,3,4,5,6,7,8,9,10,11,12,13,14,15,16,17,18,19,20,21,22,23,24,25,26,27,28,29,30"</formula1>
    </dataValidation>
    <dataValidation type="list" allowBlank="1" showInputMessage="1" showErrorMessage="1" sqref="G13">
      <formula1>"choose,3,4,5,6,7,8,9,10,11,12,13,14,15,16,17,18"</formula1>
    </dataValidation>
  </dataValidations>
  <hyperlinks>
    <hyperlink ref="G2" location="'38'!A1" display="[38]"/>
  </hyperlinks>
  <printOptions/>
  <pageMargins left="0.75" right="0.75" top="1" bottom="1" header="0.5" footer="0.5"/>
  <pageSetup horizontalDpi="300" verticalDpi="300" orientation="portrait" r:id="rId2"/>
  <drawing r:id="rId1"/>
</worksheet>
</file>

<file path=xl/worksheets/sheet39.xml><?xml version="1.0" encoding="utf-8"?>
<worksheet xmlns="http://schemas.openxmlformats.org/spreadsheetml/2006/main" xmlns:r="http://schemas.openxmlformats.org/officeDocument/2006/relationships">
  <sheetPr codeName="Sheet50"/>
  <dimension ref="A1:K14"/>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15.75" customHeight="1">
      <c r="A2" s="9" t="s">
        <v>454</v>
      </c>
      <c r="B2" s="9"/>
      <c r="C2" s="129" t="s">
        <v>27</v>
      </c>
      <c r="D2" s="140"/>
      <c r="E2" s="141"/>
      <c r="F2" s="35"/>
      <c r="G2" s="33" t="s">
        <v>26</v>
      </c>
      <c r="I2" s="82">
        <f>IF(AND(ISNUMBER(I13),I13&gt;=D11),"t","")</f>
      </c>
      <c r="J2" s="53"/>
    </row>
    <row r="3" spans="1:10" ht="15.75" customHeight="1">
      <c r="A3" s="9"/>
      <c r="B3" s="9"/>
      <c r="C3" s="129" t="s">
        <v>459</v>
      </c>
      <c r="D3" s="130"/>
      <c r="E3" s="131"/>
      <c r="F3" s="35"/>
      <c r="G3" s="33" t="s">
        <v>460</v>
      </c>
      <c r="I3" s="82">
        <f>IF(AND(I13&gt;0,I13&lt;D11),"t","")</f>
      </c>
      <c r="J3" s="53"/>
    </row>
    <row r="4" spans="1:10" ht="15.75" customHeight="1">
      <c r="A4" s="9"/>
      <c r="B4" s="9"/>
      <c r="C4" s="129" t="s">
        <v>40</v>
      </c>
      <c r="D4" s="130"/>
      <c r="E4" s="131"/>
      <c r="F4" s="35"/>
      <c r="G4" s="33" t="s">
        <v>461</v>
      </c>
      <c r="I4" s="82">
        <f>IF(AND(I13&lt;=0,I13&gt;D12),"t","")</f>
      </c>
      <c r="J4" s="53"/>
    </row>
    <row r="5" spans="1:10" ht="15.75" customHeight="1">
      <c r="A5" s="9"/>
      <c r="B5" s="9"/>
      <c r="C5" s="129" t="s">
        <v>42</v>
      </c>
      <c r="D5" s="130"/>
      <c r="E5" s="131"/>
      <c r="F5" s="35"/>
      <c r="G5" s="33" t="s">
        <v>470</v>
      </c>
      <c r="I5" s="82">
        <f>IF(AND(I13&lt;=D12,I13&gt;D13),"t","")</f>
      </c>
      <c r="J5" s="53"/>
    </row>
    <row r="6" spans="1:10" ht="15.75" customHeight="1">
      <c r="A6" s="9"/>
      <c r="B6" s="9"/>
      <c r="C6" s="129" t="s">
        <v>32</v>
      </c>
      <c r="D6" s="130"/>
      <c r="E6" s="131"/>
      <c r="F6" s="35"/>
      <c r="G6" s="33" t="s">
        <v>33</v>
      </c>
      <c r="I6" s="82">
        <f>IF(AND(I13&lt;&gt;0,I13&lt;=D13),"t","")</f>
      </c>
      <c r="J6" s="53"/>
    </row>
    <row r="7" spans="1:10" ht="15.75">
      <c r="A7" s="9"/>
      <c r="B7" s="9"/>
      <c r="C7" s="9"/>
      <c r="E7" s="10" t="str">
        <f>IF('26'!E7="Dodge:","Dodge Roll:",IF('26'!E7="Block:","Block Roll:",IF('26'!E7="Parry:","Parry Roll:","Active Defense Roll:")))</f>
        <v>Active Defense Roll:</v>
      </c>
      <c r="G7" s="72">
        <f>IF('26'!G11=0,"",'26'!G11)</f>
      </c>
      <c r="I7" s="10" t="str">
        <f>'25'!I4</f>
        <v>Effective Active Defense:</v>
      </c>
      <c r="J7" s="72">
        <f>'25'!J4</f>
      </c>
    </row>
    <row r="8" spans="3:10" ht="15.75">
      <c r="C8" s="16"/>
      <c r="D8" s="16"/>
      <c r="E8" s="10" t="s">
        <v>404</v>
      </c>
      <c r="G8" s="89">
        <f>'30'!G4</f>
      </c>
      <c r="I8" s="32">
        <f>IF('29'!G6="choose","",'29'!G6)</f>
      </c>
      <c r="J8" s="85"/>
    </row>
    <row r="9" spans="3:7" ht="15.75">
      <c r="C9" s="41"/>
      <c r="D9" s="16"/>
      <c r="E9" s="10" t="s">
        <v>415</v>
      </c>
      <c r="G9" s="90">
        <f>'30'!G19</f>
        <v>0</v>
      </c>
    </row>
    <row r="10" spans="3:7" ht="15.75">
      <c r="C10" s="69" t="s">
        <v>458</v>
      </c>
      <c r="D10" s="16"/>
      <c r="E10" s="16"/>
      <c r="G10" s="41"/>
    </row>
    <row r="11" spans="3:11" ht="15.75">
      <c r="C11" s="10" t="s">
        <v>455</v>
      </c>
      <c r="D11" s="47">
        <f>ROUNDDOWN(I11/3,0)</f>
        <v>0</v>
      </c>
      <c r="E11" s="10" t="s">
        <v>445</v>
      </c>
      <c r="G11" s="98">
        <f>IF('35'!G8="choose","",'35'!G8)</f>
      </c>
      <c r="I11" s="41">
        <f>IF(ISNUMBER(G11),G11,0)</f>
        <v>0</v>
      </c>
      <c r="K11" s="101"/>
    </row>
    <row r="12" spans="3:11" ht="15.75">
      <c r="C12" s="10" t="s">
        <v>456</v>
      </c>
      <c r="D12" s="47">
        <f>0-I11</f>
        <v>0</v>
      </c>
      <c r="E12" s="10" t="s">
        <v>438</v>
      </c>
      <c r="G12" s="77">
        <f>'35'!G9</f>
      </c>
      <c r="I12" s="66">
        <f>'36'!I9</f>
      </c>
      <c r="K12" s="101"/>
    </row>
    <row r="13" spans="3:11" ht="15.75">
      <c r="C13" s="10" t="s">
        <v>457</v>
      </c>
      <c r="D13" s="47">
        <f>-5*I11</f>
        <v>0</v>
      </c>
      <c r="E13" s="10" t="s">
        <v>444</v>
      </c>
      <c r="G13" s="98">
        <f>'35'!G10</f>
      </c>
      <c r="I13" s="41">
        <f>IF(ISNUMBER(G13),G13,"")</f>
      </c>
      <c r="K13" s="101"/>
    </row>
    <row r="14" spans="5:9" ht="15.75">
      <c r="E14" s="10" t="s">
        <v>448</v>
      </c>
      <c r="G14" s="47">
        <f>'36'!G12</f>
      </c>
      <c r="I14" s="41">
        <f>'37'!C17</f>
      </c>
    </row>
  </sheetData>
  <mergeCells count="5">
    <mergeCell ref="C6:E6"/>
    <mergeCell ref="C2:E2"/>
    <mergeCell ref="C3:E3"/>
    <mergeCell ref="C4:E4"/>
    <mergeCell ref="C5:E5"/>
  </mergeCells>
  <hyperlinks>
    <hyperlink ref="G2" location="'50'!A1" display="[50]"/>
    <hyperlink ref="G3" location="'39'!A1" display="[39]"/>
    <hyperlink ref="G4" location="'40'!A1" display="[40]"/>
    <hyperlink ref="G5" location="'41'!A1" display="[41]"/>
    <hyperlink ref="G6" location="'52'!A1" display="[52]"/>
  </hyperlinks>
  <printOptions/>
  <pageMargins left="0.75" right="0.75" top="1" bottom="1" header="0.5" footer="0.5"/>
  <pageSetup horizontalDpi="300" verticalDpi="300" orientation="portrait" r:id="rId1"/>
  <ignoredErrors>
    <ignoredError sqref="I4:I5" evalError="1"/>
    <ignoredError sqref="I12" formula="1"/>
  </ignoredErrors>
</worksheet>
</file>

<file path=xl/worksheets/sheet4.xml><?xml version="1.0" encoding="utf-8"?>
<worksheet xmlns="http://schemas.openxmlformats.org/spreadsheetml/2006/main" xmlns:r="http://schemas.openxmlformats.org/officeDocument/2006/relationships">
  <sheetPr codeName="Sheet6"/>
  <dimension ref="A1:L25"/>
  <sheetViews>
    <sheetView workbookViewId="0" topLeftCell="A1">
      <selection activeCell="A1" sqref="A1"/>
    </sheetView>
  </sheetViews>
  <sheetFormatPr defaultColWidth="8.796875" defaultRowHeight="15"/>
  <cols>
    <col min="1" max="1" width="5.19921875" style="0" customWidth="1"/>
    <col min="2" max="2" width="0.8984375" style="0" customWidth="1"/>
    <col min="3" max="5" width="15.19921875" style="0" customWidth="1"/>
    <col min="6" max="6" width="0.8984375" style="0" customWidth="1"/>
    <col min="7" max="7" width="7.69921875" style="7" customWidth="1"/>
    <col min="8" max="8" width="0.8984375" style="0" customWidth="1"/>
    <col min="9" max="9" width="15.5" style="21" customWidth="1"/>
    <col min="10" max="11" width="7.69921875" style="0" customWidth="1"/>
  </cols>
  <sheetData>
    <row r="1" spans="1:12" ht="16.5" thickBot="1">
      <c r="A1" s="7"/>
      <c r="B1" s="7"/>
      <c r="C1" s="7"/>
      <c r="D1" s="7"/>
      <c r="E1" s="7"/>
      <c r="F1" s="7"/>
      <c r="H1" s="7"/>
      <c r="I1" s="4" t="s">
        <v>72</v>
      </c>
      <c r="J1" s="19">
        <f>2!H1</f>
        <v>0</v>
      </c>
      <c r="K1" s="2" t="str">
        <f>IF(G4&lt;&gt;"-",G4,IF(G5&lt;&gt;"-",G5,"Torso"))</f>
        <v>Torso</v>
      </c>
      <c r="L1" s="7"/>
    </row>
    <row r="2" spans="1:12" ht="15.75">
      <c r="A2" s="9" t="s">
        <v>45</v>
      </c>
      <c r="B2" s="9"/>
      <c r="C2" s="129" t="s">
        <v>290</v>
      </c>
      <c r="D2" s="130"/>
      <c r="E2" s="131"/>
      <c r="F2" s="7"/>
      <c r="G2" s="33" t="s">
        <v>73</v>
      </c>
      <c r="H2" s="7"/>
      <c r="I2" s="22"/>
      <c r="J2" s="22"/>
      <c r="K2" s="7"/>
      <c r="L2" s="7"/>
    </row>
    <row r="3" spans="1:12" ht="15.75">
      <c r="A3" s="9"/>
      <c r="B3" s="9"/>
      <c r="C3" s="9"/>
      <c r="D3" s="7"/>
      <c r="E3" s="1"/>
      <c r="F3" s="7"/>
      <c r="G3" s="8"/>
      <c r="H3" s="7"/>
      <c r="I3" s="2"/>
      <c r="J3" s="7"/>
      <c r="K3" s="7"/>
      <c r="L3" s="7"/>
    </row>
    <row r="4" spans="1:12" ht="15.75">
      <c r="A4" s="9"/>
      <c r="B4" s="9"/>
      <c r="C4" s="9"/>
      <c r="D4" s="7"/>
      <c r="E4" s="4" t="s">
        <v>219</v>
      </c>
      <c r="F4" s="7"/>
      <c r="G4" s="47" t="str">
        <f>IF(C9&lt;&gt;0,C9,IF(C10&lt;&gt;0,C10,"-"))</f>
        <v>-</v>
      </c>
      <c r="H4" s="7"/>
      <c r="I4" s="12"/>
      <c r="J4" s="7"/>
      <c r="K4" s="7"/>
      <c r="L4" s="7"/>
    </row>
    <row r="5" spans="1:12" ht="15.75">
      <c r="A5" s="7"/>
      <c r="B5" s="7"/>
      <c r="C5" s="7"/>
      <c r="D5" s="10" t="s">
        <v>385</v>
      </c>
      <c r="F5" s="7"/>
      <c r="G5" s="6" t="str">
        <f>IF(I6&lt;&gt;0,I6,IF(J6&lt;&gt;0,J6,IF(K6&lt;&gt;0,K6,"-")))</f>
        <v>-</v>
      </c>
      <c r="H5" s="7"/>
      <c r="I5" s="7"/>
      <c r="J5" s="7"/>
      <c r="K5" s="7"/>
      <c r="L5" s="7"/>
    </row>
    <row r="6" spans="1:12" ht="15.75">
      <c r="A6" s="34" t="b">
        <v>0</v>
      </c>
      <c r="B6" s="34"/>
      <c r="C6" s="34"/>
      <c r="D6" s="7"/>
      <c r="E6" s="7"/>
      <c r="F6" s="7"/>
      <c r="G6" s="2"/>
      <c r="H6" s="7"/>
      <c r="I6" s="34">
        <f>IF(G6=3,"Skull",IF(G6=4,"Skull",IF(G6=5,"Face",IF(G6=6,"Right Leg",IF(G6=7,"Right Leg",IF(G6=8,"Right Arm",0))))))</f>
        <v>0</v>
      </c>
      <c r="J6" s="34">
        <f>IF(G6=9,"Torso",IF(G6=10,"Torso",IF(G6=11,"Groin",IF(G6=12,"Left Arm",IF(G6=13,"Left Leg",IF(G6=14,"Left Leg",0))))))</f>
        <v>0</v>
      </c>
      <c r="K6" s="34">
        <f>IF(G6=15,"Hand",IF(G6=16,"Foot",IF(G6=17,"Neck",IF(G6=18,"Neck",0))))</f>
        <v>0</v>
      </c>
      <c r="L6" s="7"/>
    </row>
    <row r="7" spans="1:12" ht="15.75">
      <c r="A7" s="7"/>
      <c r="B7" s="7"/>
      <c r="C7" s="7"/>
      <c r="D7" s="7"/>
      <c r="E7" s="7"/>
      <c r="F7" s="7"/>
      <c r="G7" s="41">
        <f ca="1">(ROUND(RAND()*(6-1)+1,0))+(ROUND(RAND()*(6-1)+1,0))+(ROUND(RAND()*(6-1)+1,0))</f>
        <v>11</v>
      </c>
      <c r="H7" s="7"/>
      <c r="I7" s="7"/>
      <c r="J7" s="7"/>
      <c r="K7" s="7"/>
      <c r="L7" s="7"/>
    </row>
    <row r="8" spans="1:12" ht="15.75">
      <c r="A8" s="7"/>
      <c r="B8" s="7"/>
      <c r="D8" s="38" t="s">
        <v>82</v>
      </c>
      <c r="E8" s="39" t="s">
        <v>81</v>
      </c>
      <c r="F8" s="7"/>
      <c r="H8" s="7"/>
      <c r="I8" s="7"/>
      <c r="J8" s="7"/>
      <c r="K8" s="7"/>
      <c r="L8" s="7"/>
    </row>
    <row r="9" spans="1:12" ht="15.75">
      <c r="A9" s="7"/>
      <c r="B9" s="7"/>
      <c r="C9" s="34">
        <f>IF(I9=TRUE,E9,IF(I10=TRUE,E10,IF(I11=TRUE,E11,IF(I12=TRUE,E12,IF(I13=TRUE,E13,IF(I14=TRUE,E14,0))))))</f>
        <v>0</v>
      </c>
      <c r="D9" s="30" t="s">
        <v>52</v>
      </c>
      <c r="E9" s="36" t="s">
        <v>51</v>
      </c>
      <c r="F9" s="7"/>
      <c r="H9" s="7"/>
      <c r="I9" s="34" t="b">
        <v>0</v>
      </c>
      <c r="J9" s="7"/>
      <c r="K9" s="7"/>
      <c r="L9" s="7"/>
    </row>
    <row r="10" spans="1:12" ht="15.75">
      <c r="A10" s="7"/>
      <c r="B10" s="7"/>
      <c r="C10" s="34">
        <f>IF(I15=TRUE,E15,IF(I16=TRUE,E16,IF(I17=TRUE,E17,IF(I18=TRUE,E18,IF(I19=TRUE,E19,0)))))</f>
        <v>0</v>
      </c>
      <c r="D10" s="31">
        <v>5</v>
      </c>
      <c r="E10" s="36" t="s">
        <v>53</v>
      </c>
      <c r="F10" s="7"/>
      <c r="H10" s="7"/>
      <c r="I10" s="34" t="b">
        <v>0</v>
      </c>
      <c r="J10" s="7"/>
      <c r="K10" s="7"/>
      <c r="L10" s="7"/>
    </row>
    <row r="11" spans="1:12" ht="15.75">
      <c r="A11" s="7"/>
      <c r="B11" s="7"/>
      <c r="D11" s="30" t="s">
        <v>54</v>
      </c>
      <c r="E11" s="36" t="s">
        <v>55</v>
      </c>
      <c r="F11" s="7"/>
      <c r="H11" s="7"/>
      <c r="I11" s="34" t="b">
        <v>0</v>
      </c>
      <c r="J11" s="7"/>
      <c r="K11" s="7"/>
      <c r="L11" s="7"/>
    </row>
    <row r="12" spans="1:12" ht="15.75">
      <c r="A12" s="7"/>
      <c r="B12" s="7"/>
      <c r="D12" s="30" t="s">
        <v>57</v>
      </c>
      <c r="E12" s="36" t="s">
        <v>50</v>
      </c>
      <c r="F12" s="7"/>
      <c r="H12" s="7"/>
      <c r="I12" s="34" t="b">
        <v>0</v>
      </c>
      <c r="J12" s="7"/>
      <c r="K12" s="7"/>
      <c r="L12" s="7"/>
    </row>
    <row r="13" spans="1:12" ht="15.75">
      <c r="A13" s="7"/>
      <c r="B13" s="7"/>
      <c r="D13" s="30" t="s">
        <v>58</v>
      </c>
      <c r="E13" s="36" t="s">
        <v>59</v>
      </c>
      <c r="F13" s="7"/>
      <c r="H13" s="7"/>
      <c r="I13" s="34" t="b">
        <v>0</v>
      </c>
      <c r="J13" s="7"/>
      <c r="K13" s="7"/>
      <c r="L13" s="7"/>
    </row>
    <row r="14" spans="1:12" ht="15.75">
      <c r="A14" s="7"/>
      <c r="B14" s="7"/>
      <c r="D14" s="30" t="s">
        <v>60</v>
      </c>
      <c r="E14" s="36" t="s">
        <v>61</v>
      </c>
      <c r="F14" s="7"/>
      <c r="H14" s="7"/>
      <c r="I14" s="34" t="b">
        <v>0</v>
      </c>
      <c r="J14" s="7"/>
      <c r="K14" s="7"/>
      <c r="L14" s="7"/>
    </row>
    <row r="15" spans="1:12" ht="15.75">
      <c r="A15" s="7"/>
      <c r="B15" s="7"/>
      <c r="D15" s="30" t="s">
        <v>62</v>
      </c>
      <c r="E15" s="36" t="s">
        <v>63</v>
      </c>
      <c r="F15" s="7"/>
      <c r="H15" s="7"/>
      <c r="I15" s="34" t="b">
        <v>0</v>
      </c>
      <c r="J15" s="7"/>
      <c r="K15" s="7"/>
      <c r="L15" s="7"/>
    </row>
    <row r="16" spans="1:12" ht="15.75">
      <c r="A16" s="7"/>
      <c r="B16" s="7"/>
      <c r="D16" s="30" t="s">
        <v>64</v>
      </c>
      <c r="E16" s="36" t="s">
        <v>65</v>
      </c>
      <c r="F16" s="7"/>
      <c r="H16" s="7"/>
      <c r="I16" s="34" t="b">
        <v>0</v>
      </c>
      <c r="J16" s="7"/>
      <c r="K16" s="7"/>
      <c r="L16" s="7"/>
    </row>
    <row r="17" spans="1:12" ht="15.75">
      <c r="A17" s="7"/>
      <c r="B17" s="7"/>
      <c r="D17" s="30" t="s">
        <v>66</v>
      </c>
      <c r="E17" s="36" t="s">
        <v>67</v>
      </c>
      <c r="F17" s="7"/>
      <c r="H17" s="7"/>
      <c r="I17" s="34" t="b">
        <v>0</v>
      </c>
      <c r="J17" s="7"/>
      <c r="K17" s="7"/>
      <c r="L17" s="7"/>
    </row>
    <row r="18" spans="1:12" ht="15.75">
      <c r="A18" s="7"/>
      <c r="B18" s="7"/>
      <c r="D18" s="30" t="s">
        <v>68</v>
      </c>
      <c r="E18" s="36" t="s">
        <v>69</v>
      </c>
      <c r="F18" s="7"/>
      <c r="H18" s="7"/>
      <c r="I18" s="34" t="b">
        <v>0</v>
      </c>
      <c r="J18" s="7"/>
      <c r="K18" s="7"/>
      <c r="L18" s="7"/>
    </row>
    <row r="19" spans="1:12" ht="15.75">
      <c r="A19" s="7"/>
      <c r="B19" s="7"/>
      <c r="D19" s="30" t="s">
        <v>70</v>
      </c>
      <c r="E19" s="36" t="s">
        <v>71</v>
      </c>
      <c r="F19" s="7"/>
      <c r="H19" s="7"/>
      <c r="I19" s="34" t="b">
        <v>0</v>
      </c>
      <c r="J19" s="7"/>
      <c r="K19" s="7"/>
      <c r="L19" s="7"/>
    </row>
    <row r="20" spans="1:12" ht="15.75">
      <c r="A20" s="7"/>
      <c r="B20" s="7"/>
      <c r="C20" s="7"/>
      <c r="D20" s="7"/>
      <c r="E20" s="7"/>
      <c r="F20" s="7"/>
      <c r="H20" s="7"/>
      <c r="I20" s="7"/>
      <c r="J20" s="7"/>
      <c r="K20" s="7"/>
      <c r="L20" s="7"/>
    </row>
    <row r="21" spans="1:12" ht="15.75">
      <c r="A21" s="7"/>
      <c r="B21" s="7"/>
      <c r="C21" s="7"/>
      <c r="D21" s="7"/>
      <c r="E21" s="7"/>
      <c r="F21" s="7"/>
      <c r="H21" s="7"/>
      <c r="I21" s="7"/>
      <c r="J21" s="7"/>
      <c r="K21" s="7"/>
      <c r="L21" s="7"/>
    </row>
    <row r="22" spans="1:12" ht="15.75">
      <c r="A22" s="7"/>
      <c r="B22" s="7"/>
      <c r="C22" s="7"/>
      <c r="D22" s="7"/>
      <c r="E22" s="7"/>
      <c r="F22" s="7"/>
      <c r="H22" s="7"/>
      <c r="I22" s="7"/>
      <c r="J22" s="7"/>
      <c r="K22" s="7"/>
      <c r="L22" s="7"/>
    </row>
    <row r="23" spans="1:12" ht="15.75">
      <c r="A23" s="7"/>
      <c r="B23" s="7"/>
      <c r="C23" s="7"/>
      <c r="D23" s="7"/>
      <c r="E23" s="7"/>
      <c r="F23" s="7"/>
      <c r="H23" s="7"/>
      <c r="I23" s="7"/>
      <c r="J23" s="7"/>
      <c r="K23" s="7"/>
      <c r="L23" s="7"/>
    </row>
    <row r="24" spans="1:12" ht="15.75">
      <c r="A24" s="7"/>
      <c r="B24" s="7"/>
      <c r="C24" s="7"/>
      <c r="D24" s="7"/>
      <c r="E24" s="7"/>
      <c r="F24" s="7"/>
      <c r="H24" s="7"/>
      <c r="I24" s="7"/>
      <c r="J24" s="7"/>
      <c r="K24" s="7"/>
      <c r="L24" s="7"/>
    </row>
    <row r="25" spans="1:12" ht="15.75">
      <c r="A25" s="7"/>
      <c r="B25" s="7"/>
      <c r="C25" s="7"/>
      <c r="D25" s="7"/>
      <c r="E25" s="7"/>
      <c r="F25" s="7"/>
      <c r="H25" s="7"/>
      <c r="I25" s="7"/>
      <c r="J25" s="7"/>
      <c r="K25" s="7"/>
      <c r="L25" s="7"/>
    </row>
  </sheetData>
  <mergeCells count="1">
    <mergeCell ref="C2:E2"/>
  </mergeCells>
  <dataValidations count="1">
    <dataValidation allowBlank="1" showErrorMessage="1" promptTitle="Unmodified Weapon Skill" prompt="Select your Unmodified Weapon Skill from the range 0 to 35." sqref="E9:E19 I4"/>
  </dataValidations>
  <hyperlinks>
    <hyperlink ref="G2" location="'6'!A1" display="[6]"/>
  </hyperlinks>
  <printOptions/>
  <pageMargins left="0.75" right="0.75" top="1" bottom="1" header="0.5" footer="0.5"/>
  <pageSetup horizontalDpi="300" verticalDpi="300" orientation="portrait" r:id="rId3"/>
  <ignoredErrors>
    <ignoredError sqref="D12 D14:D15 D17:D18" numberStoredAsText="1"/>
  </ignoredErrors>
  <drawing r:id="rId2"/>
  <legacyDrawing r:id="rId1"/>
</worksheet>
</file>

<file path=xl/worksheets/sheet40.xml><?xml version="1.0" encoding="utf-8"?>
<worksheet xmlns="http://schemas.openxmlformats.org/spreadsheetml/2006/main" xmlns:r="http://schemas.openxmlformats.org/officeDocument/2006/relationships">
  <sheetPr codeName="Sheet51"/>
  <dimension ref="A1:K10"/>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31.5" customHeight="1">
      <c r="A2" s="9" t="s">
        <v>460</v>
      </c>
      <c r="B2" s="9"/>
      <c r="C2" s="129" t="s">
        <v>497</v>
      </c>
      <c r="D2" s="140"/>
      <c r="E2" s="141"/>
      <c r="F2" s="35"/>
      <c r="G2" s="33" t="s">
        <v>30</v>
      </c>
      <c r="I2" s="82"/>
      <c r="J2" s="53"/>
    </row>
    <row r="3" spans="1:10" ht="15.75">
      <c r="A3" s="9"/>
      <c r="B3" s="9"/>
      <c r="C3" s="9"/>
      <c r="E3" s="10" t="str">
        <f>IF('26'!E7="Dodge:","Dodge Roll:",IF('26'!E7="Block:","Block Roll:",IF('26'!E7="Parry:","Parry Roll:","Active Defense Roll:")))</f>
        <v>Active Defense Roll:</v>
      </c>
      <c r="G3" s="72">
        <f>IF('26'!G11=0,"",'26'!G11)</f>
      </c>
      <c r="I3" s="10" t="str">
        <f>'25'!I4</f>
        <v>Effective Active Defense:</v>
      </c>
      <c r="J3" s="72">
        <f>'25'!J4</f>
      </c>
    </row>
    <row r="4" spans="3:10" ht="15.75">
      <c r="C4" s="16"/>
      <c r="D4" s="16"/>
      <c r="E4" s="10" t="s">
        <v>404</v>
      </c>
      <c r="G4" s="89">
        <f>'30'!G4</f>
      </c>
      <c r="I4" s="32">
        <f>IF('29'!G6="choose","",'29'!G6)</f>
      </c>
      <c r="J4" s="85"/>
    </row>
    <row r="5" spans="3:7" ht="15.75">
      <c r="C5" s="41"/>
      <c r="D5" s="16"/>
      <c r="E5" s="10" t="s">
        <v>415</v>
      </c>
      <c r="G5" s="90">
        <f>'30'!G19</f>
        <v>0</v>
      </c>
    </row>
    <row r="6" spans="3:7" ht="15.75">
      <c r="C6" s="69"/>
      <c r="D6" s="16"/>
      <c r="E6" s="16"/>
      <c r="G6" s="41"/>
    </row>
    <row r="7" spans="3:11" ht="15.75">
      <c r="C7" s="10"/>
      <c r="D7" s="84"/>
      <c r="E7" s="10" t="s">
        <v>445</v>
      </c>
      <c r="G7" s="98">
        <f>IF('35'!G8="choose","",'35'!G8)</f>
      </c>
      <c r="I7" s="41"/>
      <c r="K7" s="101"/>
    </row>
    <row r="8" spans="3:11" ht="15.75">
      <c r="C8" s="10"/>
      <c r="D8" s="84"/>
      <c r="E8" s="10" t="s">
        <v>438</v>
      </c>
      <c r="G8" s="77">
        <f>'35'!G9</f>
      </c>
      <c r="I8" s="66">
        <f>'36'!I9</f>
      </c>
      <c r="K8" s="101"/>
    </row>
    <row r="9" spans="3:11" ht="15.75">
      <c r="C9" s="10"/>
      <c r="D9" s="84"/>
      <c r="E9" s="10" t="s">
        <v>444</v>
      </c>
      <c r="G9" s="98">
        <f>'35'!G10</f>
      </c>
      <c r="I9" s="41"/>
      <c r="K9" s="101"/>
    </row>
    <row r="10" spans="5:9" ht="15.75">
      <c r="E10" s="10" t="s">
        <v>448</v>
      </c>
      <c r="G10" s="47">
        <f>'36'!G12</f>
      </c>
      <c r="I10" s="41">
        <f>'37'!C17</f>
      </c>
    </row>
  </sheetData>
  <mergeCells count="1">
    <mergeCell ref="C2:E2"/>
  </mergeCells>
  <hyperlinks>
    <hyperlink ref="G2" location="'51'!A1" display="[51]"/>
  </hyperlinks>
  <printOptions/>
  <pageMargins left="0.75" right="0.75" top="1" bottom="1" header="0.5" footer="0.5"/>
  <pageSetup horizontalDpi="300" verticalDpi="300" orientation="portrait" r:id="rId1"/>
</worksheet>
</file>

<file path=xl/worksheets/sheet41.xml><?xml version="1.0" encoding="utf-8"?>
<worksheet xmlns="http://schemas.openxmlformats.org/spreadsheetml/2006/main" xmlns:r="http://schemas.openxmlformats.org/officeDocument/2006/relationships">
  <sheetPr codeName="Sheet52"/>
  <dimension ref="A1:K12"/>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141.75" customHeight="1">
      <c r="A2" s="9" t="s">
        <v>461</v>
      </c>
      <c r="B2" s="9"/>
      <c r="C2" s="129" t="s">
        <v>499</v>
      </c>
      <c r="D2" s="140"/>
      <c r="E2" s="141"/>
      <c r="F2" s="35"/>
      <c r="G2" s="33" t="s">
        <v>30</v>
      </c>
      <c r="I2" s="82"/>
      <c r="J2" s="53"/>
    </row>
    <row r="3" spans="1:10" ht="15.75">
      <c r="A3" s="9"/>
      <c r="B3" s="9"/>
      <c r="C3" s="9"/>
      <c r="E3" s="10" t="str">
        <f>IF('26'!E7="Dodge:","Dodge Roll:",IF('26'!E7="Block:","Block Roll:",IF('26'!E7="Parry:","Parry Roll:","Active Defense Roll:")))</f>
        <v>Active Defense Roll:</v>
      </c>
      <c r="G3" s="72">
        <f>IF('26'!G11=0,"",'26'!G11)</f>
      </c>
      <c r="I3" s="10" t="str">
        <f>'25'!I4</f>
        <v>Effective Active Defense:</v>
      </c>
      <c r="J3" s="72">
        <f>'25'!J4</f>
      </c>
    </row>
    <row r="4" spans="3:10" ht="15.75">
      <c r="C4" s="69" t="s">
        <v>282</v>
      </c>
      <c r="D4" s="16"/>
      <c r="E4" s="10" t="s">
        <v>404</v>
      </c>
      <c r="G4" s="89">
        <f>'30'!G4</f>
      </c>
      <c r="I4" s="32">
        <f>IF('29'!G6="choose","",'29'!G6)</f>
      </c>
      <c r="J4" s="85"/>
    </row>
    <row r="5" spans="3:7" ht="15.75">
      <c r="C5" s="7">
        <f>IF(K9=0,"",IF(AND(ISNUMBER(K9),K9&lt;=J7),"Target remains conscious.",IF(AND(ISNUMBER(K9),K9&gt;J7),"Target fall unconscious.","")))</f>
      </c>
      <c r="D5" s="101"/>
      <c r="E5" s="10" t="s">
        <v>415</v>
      </c>
      <c r="G5" s="90">
        <f>'30'!G19</f>
        <v>0</v>
      </c>
    </row>
    <row r="6" spans="3:7" ht="15.75">
      <c r="C6" s="16"/>
      <c r="D6" s="101"/>
      <c r="E6" s="16"/>
      <c r="G6" s="41"/>
    </row>
    <row r="7" spans="3:11" ht="15.75">
      <c r="C7" s="16"/>
      <c r="D7" s="102"/>
      <c r="E7" s="10" t="s">
        <v>445</v>
      </c>
      <c r="G7" s="98">
        <f>IF('35'!G8="choose","",'35'!G8)</f>
      </c>
      <c r="I7" s="10" t="s">
        <v>451</v>
      </c>
      <c r="J7" s="95" t="s">
        <v>56</v>
      </c>
      <c r="K7" s="101"/>
    </row>
    <row r="8" spans="3:11" ht="15.75">
      <c r="C8" s="16"/>
      <c r="D8" s="102"/>
      <c r="E8" s="10" t="s">
        <v>438</v>
      </c>
      <c r="G8" s="77">
        <f>'35'!G9</f>
      </c>
      <c r="I8" s="10" t="s">
        <v>471</v>
      </c>
      <c r="J8" s="47" t="s">
        <v>56</v>
      </c>
      <c r="K8" s="105">
        <f>IF(J8="choose","",J8)</f>
      </c>
    </row>
    <row r="9" spans="3:11" ht="15.75">
      <c r="C9" s="16"/>
      <c r="D9" s="102"/>
      <c r="E9" s="10" t="s">
        <v>444</v>
      </c>
      <c r="G9" s="98">
        <f>'35'!G10</f>
      </c>
      <c r="I9" s="41"/>
      <c r="J9" s="47"/>
      <c r="K9" s="105">
        <f>IF(ISNUMBER(J9),J9,IF(ISNUMBER(K8),K8,0))</f>
        <v>0</v>
      </c>
    </row>
    <row r="10" spans="3:10" ht="15.75">
      <c r="C10" s="16"/>
      <c r="D10" s="101"/>
      <c r="E10" s="10" t="s">
        <v>448</v>
      </c>
      <c r="G10" s="47">
        <f>'36'!G12</f>
      </c>
      <c r="I10" s="41">
        <f>'37'!C17</f>
      </c>
      <c r="J10" s="41">
        <f ca="1">(ROUND(RAND()*(6-1)+1,0))+(ROUND(RAND()*(6-1)+1,0))+(ROUND(RAND()*(6-1)+1,0))</f>
        <v>16</v>
      </c>
    </row>
    <row r="12" spans="5:9" ht="15.75">
      <c r="E12" s="10"/>
      <c r="G12" s="84"/>
      <c r="I12" s="27"/>
    </row>
  </sheetData>
  <mergeCells count="1">
    <mergeCell ref="C2:E2"/>
  </mergeCells>
  <dataValidations count="2">
    <dataValidation type="list" allowBlank="1" showInputMessage="1" showErrorMessage="1" sqref="J7">
      <formula1>"choose,3,4,5,6,7,8,9,10,11,12,13,14,15,16,17,18,19,20,21,22,23,24,25,26,27,28,29,30"</formula1>
    </dataValidation>
    <dataValidation type="list" allowBlank="1" showInputMessage="1" showErrorMessage="1" sqref="J8">
      <formula1>"choose,3,4,5,6,7,8,9,10,11,12,13,14,15,16,17,18"</formula1>
    </dataValidation>
  </dataValidations>
  <hyperlinks>
    <hyperlink ref="G2" location="'51'!A1" display="[51]"/>
  </hyperlinks>
  <printOptions/>
  <pageMargins left="0.75" right="0.75" top="1" bottom="1" header="0.5" footer="0.5"/>
  <pageSetup horizontalDpi="300" verticalDpi="300" orientation="portrait" r:id="rId2"/>
  <drawing r:id="rId1"/>
</worksheet>
</file>

<file path=xl/worksheets/sheet42.xml><?xml version="1.0" encoding="utf-8"?>
<worksheet xmlns="http://schemas.openxmlformats.org/spreadsheetml/2006/main" xmlns:r="http://schemas.openxmlformats.org/officeDocument/2006/relationships">
  <sheetPr codeName="Sheet53"/>
  <dimension ref="A1:K22"/>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189.75" customHeight="1">
      <c r="A2" s="9" t="s">
        <v>470</v>
      </c>
      <c r="B2" s="9"/>
      <c r="C2" s="129" t="s">
        <v>498</v>
      </c>
      <c r="D2" s="140"/>
      <c r="E2" s="141"/>
      <c r="F2" s="35"/>
      <c r="G2" s="33" t="s">
        <v>16</v>
      </c>
      <c r="I2" s="82">
        <f>IF(C7="Target survives. Go to [51].","t","")</f>
      </c>
      <c r="J2" s="53"/>
    </row>
    <row r="3" spans="1:10" ht="15.75" customHeight="1">
      <c r="A3" s="9"/>
      <c r="B3" s="9"/>
      <c r="C3" s="129" t="s">
        <v>35</v>
      </c>
      <c r="D3" s="130"/>
      <c r="E3" s="131"/>
      <c r="F3" s="35"/>
      <c r="G3" s="33" t="s">
        <v>15</v>
      </c>
      <c r="I3" s="82">
        <f>IF(C7="Target is Mortally Wounded. Go to [46].","t","")</f>
      </c>
      <c r="J3" s="53"/>
    </row>
    <row r="4" spans="1:10" ht="15.75" customHeight="1">
      <c r="A4" s="9"/>
      <c r="B4" s="9"/>
      <c r="C4" s="129" t="s">
        <v>34</v>
      </c>
      <c r="D4" s="130"/>
      <c r="E4" s="131"/>
      <c r="F4" s="35"/>
      <c r="G4" s="33" t="s">
        <v>33</v>
      </c>
      <c r="I4" s="82">
        <f>IF(C7="Target is dead. Go to [52].","t","")</f>
      </c>
      <c r="J4" s="53"/>
    </row>
    <row r="5" spans="1:10" ht="15.75">
      <c r="A5" s="9"/>
      <c r="B5" s="9"/>
      <c r="C5" s="9"/>
      <c r="E5" s="10" t="str">
        <f>IF('26'!E7="Dodge:","Dodge Roll:",IF('26'!E7="Block:","Block Roll:",IF('26'!E7="Parry:","Parry Roll:","Active Defense Roll:")))</f>
        <v>Active Defense Roll:</v>
      </c>
      <c r="G5" s="72">
        <f>IF('26'!G11=0,"",'26'!G11)</f>
      </c>
      <c r="I5" s="10" t="str">
        <f>'25'!I4</f>
        <v>Effective Active Defense:</v>
      </c>
      <c r="J5" s="72">
        <f>'25'!J4</f>
      </c>
    </row>
    <row r="6" spans="3:10" ht="15.75">
      <c r="C6" s="69" t="s">
        <v>473</v>
      </c>
      <c r="D6" s="16"/>
      <c r="E6" s="10" t="s">
        <v>404</v>
      </c>
      <c r="G6" s="89">
        <f>'30'!G4</f>
      </c>
      <c r="I6" s="32">
        <f>IF('29'!G6="choose","",'29'!G6)</f>
      </c>
      <c r="J6" s="85"/>
    </row>
    <row r="7" spans="3:7" ht="15.75">
      <c r="C7" s="7">
        <f>IF(K11=0,"",IF(AND(ISNUMBER(K11),K11&lt;=J9),"Target survives. Go to [51].",IF(AND(ISNUMBER(K11),K11&gt;J9,K11&lt;J9+3),"Target is Mortally Wounded. Go to [46].",IF(AND(ISNUMBER(K11),K11&gt;=J9+3),"Target is dead. Go to [52].",""))))</f>
      </c>
      <c r="E7" s="10" t="s">
        <v>415</v>
      </c>
      <c r="G7" s="90">
        <f>'30'!G19</f>
        <v>0</v>
      </c>
    </row>
    <row r="8" spans="5:7" ht="15.75">
      <c r="E8" s="16"/>
      <c r="G8" s="41"/>
    </row>
    <row r="9" spans="3:11" ht="15.75">
      <c r="C9" s="69" t="s">
        <v>472</v>
      </c>
      <c r="E9" s="10" t="s">
        <v>445</v>
      </c>
      <c r="G9" s="98">
        <f>IF('35'!G8="choose","",'35'!G8)</f>
      </c>
      <c r="I9" s="10" t="s">
        <v>451</v>
      </c>
      <c r="J9" s="95" t="s">
        <v>56</v>
      </c>
      <c r="K9" s="101"/>
    </row>
    <row r="10" spans="3:11" ht="15.75">
      <c r="C10" s="7">
        <f>IF(K11=0,"",IF(AND(ISNUMBER(K11),K11&lt;=J9+G14),"Target remains conscious.",IF(AND(ISNUMBER(K11),K11&gt;J9+G14,K11&lt;J9),"Target falls unconscious (due to penalty).",IF(AND(ISNUMBER(K11),K11&gt;=J9+G14),"Target falls unconscious.",""))))</f>
      </c>
      <c r="E10" s="10" t="s">
        <v>438</v>
      </c>
      <c r="G10" s="77">
        <f>'35'!G9</f>
      </c>
      <c r="I10" s="10" t="s">
        <v>471</v>
      </c>
      <c r="J10" s="47" t="s">
        <v>56</v>
      </c>
      <c r="K10" s="11">
        <f>IF(J10="choose","",J10)</f>
      </c>
    </row>
    <row r="11" spans="5:11" ht="15.75">
      <c r="E11" s="10" t="s">
        <v>444</v>
      </c>
      <c r="G11" s="98">
        <f>'35'!G10</f>
      </c>
      <c r="I11" s="41"/>
      <c r="J11" s="47"/>
      <c r="K11" s="105">
        <f>IF(ISNUMBER(J11),J11,IF(ISNUMBER(K10),K10,0))</f>
        <v>0</v>
      </c>
    </row>
    <row r="12" spans="5:10" ht="15.75">
      <c r="E12" s="10" t="s">
        <v>448</v>
      </c>
      <c r="G12" s="47">
        <f>'36'!G12</f>
      </c>
      <c r="I12" s="41">
        <f>'37'!C17</f>
      </c>
      <c r="J12" s="41">
        <f ca="1">(ROUND(RAND()*(6-1)+1,0))+(ROUND(RAND()*(6-1)+1,0))+(ROUND(RAND()*(6-1)+1,0))</f>
        <v>12</v>
      </c>
    </row>
    <row r="14" spans="5:9" ht="15.75">
      <c r="E14" s="10" t="s">
        <v>462</v>
      </c>
      <c r="G14" s="47">
        <f>IF(ISNUMBER(C22),C22,"")</f>
      </c>
      <c r="I14" s="27" t="s">
        <v>463</v>
      </c>
    </row>
    <row r="15" spans="5:9" ht="15.75">
      <c r="E15" s="10" t="s">
        <v>38</v>
      </c>
      <c r="G15" s="47">
        <f>IF(ISNUMBER(C22),ABS(C22),"")</f>
      </c>
      <c r="I15" s="27" t="s">
        <v>39</v>
      </c>
    </row>
    <row r="17" spans="3:4" ht="15.75">
      <c r="C17" s="41" t="e">
        <f>0-G9</f>
        <v>#VALUE!</v>
      </c>
      <c r="D17" s="103" t="s">
        <v>464</v>
      </c>
    </row>
    <row r="18" spans="3:4" ht="15.75">
      <c r="C18" s="41" t="e">
        <f>0-G9*2</f>
        <v>#VALUE!</v>
      </c>
      <c r="D18" s="103" t="s">
        <v>465</v>
      </c>
    </row>
    <row r="19" spans="3:4" ht="15.75">
      <c r="C19" s="41" t="e">
        <f>0-G9*3</f>
        <v>#VALUE!</v>
      </c>
      <c r="D19" s="104" t="s">
        <v>466</v>
      </c>
    </row>
    <row r="20" spans="3:4" ht="15.75">
      <c r="C20" s="41" t="e">
        <f>0-G9*4</f>
        <v>#VALUE!</v>
      </c>
      <c r="D20" s="104" t="s">
        <v>467</v>
      </c>
    </row>
    <row r="21" spans="3:4" ht="15.75">
      <c r="C21" s="41" t="e">
        <f>0-G9*5</f>
        <v>#VALUE!</v>
      </c>
      <c r="D21" s="104" t="s">
        <v>468</v>
      </c>
    </row>
    <row r="22" spans="3:4" ht="15.75">
      <c r="C22" s="41" t="e">
        <f>IF(AND(G11&lt;0,G11&gt;=C17),-1,IF(AND(G11&lt;C17,G11&gt;=C18),-2,IF(AND(G11&lt;C18,G11&gt;=C19),-3,IF(AND(G11&lt;C19,G11&gt;=C20),-4,IF(G11&lt;C20,-5,"")))))</f>
        <v>#VALUE!</v>
      </c>
      <c r="D22" s="103" t="s">
        <v>469</v>
      </c>
    </row>
  </sheetData>
  <mergeCells count="3">
    <mergeCell ref="C2:E2"/>
    <mergeCell ref="C3:E3"/>
    <mergeCell ref="C4:E4"/>
  </mergeCells>
  <dataValidations count="2">
    <dataValidation type="list" allowBlank="1" showInputMessage="1" showErrorMessage="1" sqref="J9">
      <formula1>"choose,3,4,5,6,7,8,9,10,11,12,13,14,15,16,17,18,19,20,21,22,23,24,25,26,27,28,29,30"</formula1>
    </dataValidation>
    <dataValidation type="list" allowBlank="1" showInputMessage="1" showErrorMessage="1" sqref="J10">
      <formula1>"choose,3,4,5,6,7,8,9,10,11,12,13,14,15,16,17,18"</formula1>
    </dataValidation>
  </dataValidations>
  <hyperlinks>
    <hyperlink ref="G2" location="'47'!A1" display="[47]"/>
    <hyperlink ref="G3" location="'46'!A1" display="[46]"/>
    <hyperlink ref="G4" location="'52'!A1" display="[52]"/>
  </hyperlinks>
  <printOptions/>
  <pageMargins left="0.75" right="0.75" top="1" bottom="1" header="0.5" footer="0.5"/>
  <pageSetup horizontalDpi="300" verticalDpi="300" orientation="portrait" r:id="rId2"/>
  <ignoredErrors>
    <ignoredError sqref="C17:C22" evalError="1"/>
  </ignoredErrors>
  <drawing r:id="rId1"/>
</worksheet>
</file>

<file path=xl/worksheets/sheet43.xml><?xml version="1.0" encoding="utf-8"?>
<worksheet xmlns="http://schemas.openxmlformats.org/spreadsheetml/2006/main" xmlns:r="http://schemas.openxmlformats.org/officeDocument/2006/relationships">
  <sheetPr codeName="Sheet56"/>
  <dimension ref="A1:K15"/>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47.25" customHeight="1">
      <c r="A2" s="9" t="s">
        <v>474</v>
      </c>
      <c r="B2" s="9"/>
      <c r="C2" s="129" t="s">
        <v>28</v>
      </c>
      <c r="D2" s="140"/>
      <c r="E2" s="141"/>
      <c r="F2" s="35"/>
      <c r="G2" s="33" t="s">
        <v>26</v>
      </c>
      <c r="I2" s="82">
        <f>IF(AND(G8&lt;&gt;"choose",ISNUMBER(I10),I10&gt;=D9),"t","")</f>
      </c>
      <c r="J2" s="53"/>
    </row>
    <row r="3" spans="1:10" ht="15.75" customHeight="1">
      <c r="A3" s="9"/>
      <c r="B3" s="9"/>
      <c r="C3" s="129" t="s">
        <v>480</v>
      </c>
      <c r="D3" s="130"/>
      <c r="E3" s="131"/>
      <c r="F3" s="35"/>
      <c r="G3" s="33" t="s">
        <v>475</v>
      </c>
      <c r="I3" s="82">
        <f>IF(AND(I10&gt;0,I10&lt;D9),"t","")</f>
      </c>
      <c r="J3" s="53"/>
    </row>
    <row r="4" spans="1:10" ht="15.75" customHeight="1">
      <c r="A4" s="9"/>
      <c r="B4" s="9"/>
      <c r="C4" s="129" t="s">
        <v>481</v>
      </c>
      <c r="D4" s="130"/>
      <c r="E4" s="131"/>
      <c r="F4" s="35"/>
      <c r="G4" s="33" t="s">
        <v>483</v>
      </c>
      <c r="I4" s="82">
        <f>IF(AND(I10&lt;=0,I10&gt;D10),"t","")</f>
      </c>
      <c r="J4" s="53"/>
    </row>
    <row r="5" spans="1:10" ht="15.75" customHeight="1">
      <c r="A5" s="9"/>
      <c r="B5" s="9"/>
      <c r="C5" s="129" t="s">
        <v>482</v>
      </c>
      <c r="D5" s="130"/>
      <c r="E5" s="131"/>
      <c r="F5" s="35"/>
      <c r="G5" s="33" t="s">
        <v>484</v>
      </c>
      <c r="I5" s="82">
        <f>IF(AND(G8&lt;&gt;"choose",I10&lt;=D10),"t","")</f>
      </c>
      <c r="J5" s="53"/>
    </row>
    <row r="6" spans="1:10" ht="15.75">
      <c r="A6" s="9"/>
      <c r="B6" s="9"/>
      <c r="C6" s="9"/>
      <c r="E6" s="10" t="str">
        <f>IF('26'!E7="Dodge:","Dodge Roll:",IF('26'!E7="Block:","Block Roll:",IF('26'!E7="Parry:","Parry Roll:","Active Defense Roll:")))</f>
        <v>Active Defense Roll:</v>
      </c>
      <c r="G6" s="72">
        <f>IF('26'!G11=0,"",'26'!G11)</f>
      </c>
      <c r="I6" s="10" t="str">
        <f>'25'!I4</f>
        <v>Effective Active Defense:</v>
      </c>
      <c r="J6" s="72">
        <f>'25'!J4</f>
      </c>
    </row>
    <row r="7" spans="3:10" ht="15.75">
      <c r="C7" s="16"/>
      <c r="D7" s="16"/>
      <c r="E7" s="10"/>
      <c r="G7" s="41">
        <f>IF(G8="choose",0,G8)</f>
        <v>0</v>
      </c>
      <c r="I7" s="32">
        <f>IF('29'!G6="choose","",'29'!G6)</f>
      </c>
      <c r="J7" s="85"/>
    </row>
    <row r="8" spans="3:9" ht="15.75">
      <c r="C8" s="69" t="s">
        <v>458</v>
      </c>
      <c r="D8" s="16"/>
      <c r="E8" s="10" t="s">
        <v>478</v>
      </c>
      <c r="G8" s="98" t="s">
        <v>56</v>
      </c>
      <c r="I8" s="41">
        <f>IF(ISNUMBER(G8),G8,0)</f>
        <v>0</v>
      </c>
    </row>
    <row r="9" spans="3:9" ht="15.75">
      <c r="C9" s="10" t="s">
        <v>12</v>
      </c>
      <c r="D9" s="47">
        <f>ROUNDDOWN(I8/3,0)</f>
        <v>0</v>
      </c>
      <c r="E9" s="10" t="s">
        <v>477</v>
      </c>
      <c r="G9" s="77">
        <f>'29'!G18</f>
      </c>
      <c r="I9" s="41">
        <f>IF(ISNUMBER(G9),G9,0)</f>
        <v>0</v>
      </c>
    </row>
    <row r="10" spans="3:11" ht="15.75">
      <c r="C10" s="10" t="s">
        <v>13</v>
      </c>
      <c r="D10" s="47">
        <f>0-I8</f>
        <v>0</v>
      </c>
      <c r="E10" s="10" t="s">
        <v>479</v>
      </c>
      <c r="G10" s="98">
        <f>IF(G8&lt;&gt;"choose",G7-I9,"")</f>
      </c>
      <c r="I10" s="41">
        <f>IF(ISNUMBER(G10),G10,0)</f>
        <v>0</v>
      </c>
      <c r="K10" s="101"/>
    </row>
    <row r="11" spans="3:11" ht="15.75">
      <c r="C11" s="16"/>
      <c r="D11" s="102"/>
      <c r="I11" s="66"/>
      <c r="K11" s="101"/>
    </row>
    <row r="12" spans="3:11" ht="15.75">
      <c r="C12" s="16"/>
      <c r="D12" s="102"/>
      <c r="I12" s="41"/>
      <c r="K12" s="101"/>
    </row>
    <row r="13" spans="3:9" ht="15.75">
      <c r="C13" s="16"/>
      <c r="D13" s="101"/>
      <c r="E13" s="10"/>
      <c r="G13" s="84"/>
      <c r="I13" s="41"/>
    </row>
    <row r="15" spans="5:9" ht="15.75">
      <c r="E15" s="10"/>
      <c r="G15" s="84"/>
      <c r="I15" s="27"/>
    </row>
  </sheetData>
  <mergeCells count="4">
    <mergeCell ref="C2:E2"/>
    <mergeCell ref="C3:E3"/>
    <mergeCell ref="C4:E4"/>
    <mergeCell ref="C5:E5"/>
  </mergeCells>
  <dataValidations count="1">
    <dataValidation type="list" allowBlank="1" showInputMessage="1" showErrorMessage="1" sqref="G8">
      <formula1>"choose,3,4,5,6,7,8,9,10,11,12,13,14,15,16,17,18,19,20,21,22,23,24,25,26,27,28,29,30"</formula1>
    </dataValidation>
  </dataValidations>
  <hyperlinks>
    <hyperlink ref="G2" location="'50'!A1" display="[50]"/>
    <hyperlink ref="G3" location="'43'!A1" display="[43]"/>
    <hyperlink ref="G4" location="'44'!A1" display="[44]"/>
    <hyperlink ref="G5" location="'45'!A1" display="[45]"/>
  </hyperlinks>
  <printOptions/>
  <pageMargins left="0.75" right="0.75" top="1" bottom="1" header="0.5" footer="0.5"/>
  <pageSetup horizontalDpi="300" verticalDpi="300" orientation="portrait" r:id="rId1"/>
</worksheet>
</file>

<file path=xl/worksheets/sheet44.xml><?xml version="1.0" encoding="utf-8"?>
<worksheet xmlns="http://schemas.openxmlformats.org/spreadsheetml/2006/main" xmlns:r="http://schemas.openxmlformats.org/officeDocument/2006/relationships">
  <sheetPr codeName="Sheet57"/>
  <dimension ref="A1:K12"/>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47.25" customHeight="1">
      <c r="A2" s="9" t="s">
        <v>475</v>
      </c>
      <c r="B2" s="9"/>
      <c r="C2" s="129" t="s">
        <v>29</v>
      </c>
      <c r="D2" s="140"/>
      <c r="E2" s="141"/>
      <c r="F2" s="35"/>
      <c r="G2" s="33" t="s">
        <v>26</v>
      </c>
      <c r="I2" s="82"/>
      <c r="J2" s="53"/>
    </row>
    <row r="3" spans="1:10" ht="15.75">
      <c r="A3" s="9"/>
      <c r="B3" s="9"/>
      <c r="C3" s="9"/>
      <c r="E3" s="10" t="str">
        <f>IF('26'!E7="Dodge:","Dodge Roll:",IF('26'!E7="Block:","Block Roll:",IF('26'!E7="Parry:","Parry Roll:","Active Defense Roll:")))</f>
        <v>Active Defense Roll:</v>
      </c>
      <c r="G3" s="72">
        <f>IF('26'!G11=0,"",'26'!G11)</f>
      </c>
      <c r="I3" s="10" t="str">
        <f>'25'!I4</f>
        <v>Effective Active Defense:</v>
      </c>
      <c r="J3" s="72">
        <f>'25'!J4</f>
      </c>
    </row>
    <row r="4" spans="3:10" ht="15.75">
      <c r="C4" s="16"/>
      <c r="D4" s="16"/>
      <c r="E4" s="10"/>
      <c r="G4" s="41"/>
      <c r="I4" s="32">
        <f>IF('29'!G6="choose","",'29'!G6)</f>
      </c>
      <c r="J4" s="85"/>
    </row>
    <row r="5" spans="3:7" ht="15.75">
      <c r="C5" s="16"/>
      <c r="D5" s="101"/>
      <c r="E5" s="10" t="s">
        <v>478</v>
      </c>
      <c r="G5" s="98" t="str">
        <f>'42'!G8</f>
        <v>choose</v>
      </c>
    </row>
    <row r="6" spans="3:7" ht="15.75">
      <c r="C6" s="16"/>
      <c r="D6" s="101"/>
      <c r="E6" s="10" t="s">
        <v>477</v>
      </c>
      <c r="G6" s="77">
        <f>'42'!G9</f>
      </c>
    </row>
    <row r="7" spans="3:11" ht="15.75">
      <c r="C7" s="16"/>
      <c r="D7" s="102"/>
      <c r="E7" s="10" t="s">
        <v>479</v>
      </c>
      <c r="G7" s="98">
        <f>'42'!G10</f>
      </c>
      <c r="I7" s="41"/>
      <c r="K7" s="101"/>
    </row>
    <row r="8" spans="3:11" ht="15.75">
      <c r="C8" s="16"/>
      <c r="D8" s="102"/>
      <c r="I8" s="66"/>
      <c r="K8" s="101"/>
    </row>
    <row r="9" spans="3:11" ht="15.75">
      <c r="C9" s="16"/>
      <c r="D9" s="102"/>
      <c r="I9" s="41"/>
      <c r="K9" s="101"/>
    </row>
    <row r="10" spans="3:9" ht="15.75">
      <c r="C10" s="16"/>
      <c r="D10" s="101"/>
      <c r="E10" s="10"/>
      <c r="G10" s="84"/>
      <c r="I10" s="41"/>
    </row>
    <row r="12" spans="5:9" ht="15.75">
      <c r="E12" s="10"/>
      <c r="G12" s="84"/>
      <c r="I12" s="27"/>
    </row>
  </sheetData>
  <mergeCells count="1">
    <mergeCell ref="C2:E2"/>
  </mergeCells>
  <hyperlinks>
    <hyperlink ref="G2" location="'50'!A1" display="[50]"/>
  </hyperlinks>
  <printOptions/>
  <pageMargins left="0.75" right="0.75" top="1" bottom="1" header="0.5" footer="0.5"/>
  <pageSetup horizontalDpi="300" verticalDpi="300" orientation="portrait" r:id="rId1"/>
</worksheet>
</file>

<file path=xl/worksheets/sheet45.xml><?xml version="1.0" encoding="utf-8"?>
<worksheet xmlns="http://schemas.openxmlformats.org/spreadsheetml/2006/main" xmlns:r="http://schemas.openxmlformats.org/officeDocument/2006/relationships">
  <sheetPr codeName="Sheet58"/>
  <dimension ref="A1:K15"/>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173.25" customHeight="1">
      <c r="A2" s="9" t="s">
        <v>483</v>
      </c>
      <c r="B2" s="9"/>
      <c r="C2" s="129" t="s">
        <v>31</v>
      </c>
      <c r="D2" s="140"/>
      <c r="E2" s="141"/>
      <c r="F2" s="35"/>
      <c r="G2" s="33" t="s">
        <v>30</v>
      </c>
      <c r="I2" s="82"/>
      <c r="J2" s="53"/>
    </row>
    <row r="3" spans="1:10" ht="15.75">
      <c r="A3" s="9"/>
      <c r="B3" s="9"/>
      <c r="C3" s="9"/>
      <c r="E3" s="10" t="str">
        <f>IF('26'!E7="Dodge:","Dodge Roll:",IF('26'!E7="Block:","Block Roll:",IF('26'!E7="Parry:","Parry Roll:","Active Defense Roll:")))</f>
        <v>Active Defense Roll:</v>
      </c>
      <c r="G3" s="72">
        <f>IF('26'!G11=0,"",'26'!G11)</f>
      </c>
      <c r="I3" s="10" t="str">
        <f>'25'!I4</f>
        <v>Effective Active Defense:</v>
      </c>
      <c r="J3" s="72">
        <f>'25'!J4</f>
      </c>
    </row>
    <row r="4" spans="3:10" ht="15.75">
      <c r="C4" s="16"/>
      <c r="D4" s="16"/>
      <c r="E4" s="10"/>
      <c r="G4" s="41"/>
      <c r="I4" s="32">
        <f>IF('29'!G6="choose","",'29'!G6)</f>
      </c>
      <c r="J4" s="85"/>
    </row>
    <row r="5" spans="3:7" ht="15.75">
      <c r="C5" s="16"/>
      <c r="D5" s="101"/>
      <c r="E5" s="10" t="s">
        <v>478</v>
      </c>
      <c r="G5" s="98" t="str">
        <f>'42'!G8</f>
        <v>choose</v>
      </c>
    </row>
    <row r="6" spans="3:7" ht="15.75">
      <c r="C6" s="16"/>
      <c r="D6" s="101"/>
      <c r="E6" s="10" t="s">
        <v>477</v>
      </c>
      <c r="G6" s="77">
        <f>'42'!G9</f>
      </c>
    </row>
    <row r="7" spans="3:11" ht="15.75">
      <c r="C7" s="16"/>
      <c r="D7" s="102"/>
      <c r="E7" s="10" t="s">
        <v>479</v>
      </c>
      <c r="G7" s="98">
        <f>'42'!G10</f>
      </c>
      <c r="I7" s="41"/>
      <c r="K7" s="101"/>
    </row>
    <row r="8" spans="3:11" ht="15.75">
      <c r="C8" s="16"/>
      <c r="D8" s="102"/>
      <c r="I8" s="66"/>
      <c r="K8" s="101"/>
    </row>
    <row r="9" spans="5:11" ht="15.75">
      <c r="E9" s="10" t="s">
        <v>14</v>
      </c>
      <c r="G9" s="95" t="s">
        <v>56</v>
      </c>
      <c r="I9" s="41">
        <f>IF(G9="choose","",G9)</f>
      </c>
      <c r="K9" s="101"/>
    </row>
    <row r="10" spans="4:9" ht="15.75">
      <c r="D10" s="10"/>
      <c r="E10" s="10" t="s">
        <v>274</v>
      </c>
      <c r="G10" s="47" t="s">
        <v>56</v>
      </c>
      <c r="I10" s="41">
        <f>IF(G10="choose","",G10)</f>
      </c>
    </row>
    <row r="11" spans="4:9" ht="15.75">
      <c r="D11" s="10" t="s">
        <v>385</v>
      </c>
      <c r="E11" s="34">
        <f ca="1">(ROUND(RAND()*(6-1)+1,0))+(ROUND(RAND()*(6-1)+1,0))+(ROUND(RAND()*(6-1)+1,0))</f>
        <v>11</v>
      </c>
      <c r="G11" s="47"/>
      <c r="I11" s="41">
        <f>IF(ISNUMBER(I10),I10,IF(ISNUMBER(G11),G11,""))</f>
      </c>
    </row>
    <row r="12" ht="15.75">
      <c r="I12" s="27"/>
    </row>
    <row r="13" ht="15.75">
      <c r="C13" s="69" t="s">
        <v>282</v>
      </c>
    </row>
    <row r="14" ht="15.75">
      <c r="C14" s="7">
        <f>IF(AND(ISNUMBER(I11),I11&lt;=I9),"Target may act normally.",IF(AND(ISNUMBER(I11),I11&gt;I9,I11&lt;17),"Target is incapacitated and can do nothing until he recovers positive FP.",IF(AND(ISNUMBER(I11),I11&gt;16),"Target must make an immediate HT roll to avoid a heart attack (B429)","")))</f>
      </c>
    </row>
    <row r="15" ht="15.75">
      <c r="C15" s="27">
        <f>IF(C14="Target must make an immediate HT roll to avoid a heart attack (B429)","(either roll manually or click the 'Roll - 3d6' button again to generate another 3d6 roll)","")</f>
      </c>
    </row>
  </sheetData>
  <mergeCells count="1">
    <mergeCell ref="C2:E2"/>
  </mergeCells>
  <dataValidations count="2">
    <dataValidation type="list" allowBlank="1" showInputMessage="1" showErrorMessage="1" sqref="G9">
      <formula1>"choose,3,4,5,6,7,8,9,10,11,12,13,14,15,16,17,18,19,20,21,22,23,24,25,26,27,28,29,30"</formula1>
    </dataValidation>
    <dataValidation type="list" allowBlank="1" showInputMessage="1" showErrorMessage="1" sqref="G10">
      <formula1>"choose,3,4,5,6,7,8,9,10,11,12,13,14,15,16,17,18"</formula1>
    </dataValidation>
  </dataValidations>
  <hyperlinks>
    <hyperlink ref="G2" location="'51'!A1" display="[51]"/>
  </hyperlinks>
  <printOptions/>
  <pageMargins left="0.75" right="0.75" top="1" bottom="1" header="0.5" footer="0.5"/>
  <pageSetup horizontalDpi="300" verticalDpi="300" orientation="portrait" r:id="rId2"/>
  <drawing r:id="rId1"/>
</worksheet>
</file>

<file path=xl/worksheets/sheet46.xml><?xml version="1.0" encoding="utf-8"?>
<worksheet xmlns="http://schemas.openxmlformats.org/spreadsheetml/2006/main" xmlns:r="http://schemas.openxmlformats.org/officeDocument/2006/relationships">
  <sheetPr codeName="Sheet59"/>
  <dimension ref="A1:K12"/>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47.25" customHeight="1">
      <c r="A2" s="9" t="s">
        <v>484</v>
      </c>
      <c r="B2" s="9"/>
      <c r="C2" s="129" t="s">
        <v>17</v>
      </c>
      <c r="D2" s="140"/>
      <c r="E2" s="141"/>
      <c r="F2" s="35"/>
      <c r="G2" s="33" t="s">
        <v>16</v>
      </c>
      <c r="I2" s="82"/>
      <c r="J2" s="53"/>
    </row>
    <row r="3" spans="1:10" ht="15.75">
      <c r="A3" s="9"/>
      <c r="B3" s="9"/>
      <c r="C3" s="9"/>
      <c r="E3" s="10" t="str">
        <f>IF('26'!E7="Dodge:","Dodge Roll:",IF('26'!E7="Block:","Block Roll:",IF('26'!E7="Parry:","Parry Roll:","Active Defense Roll:")))</f>
        <v>Active Defense Roll:</v>
      </c>
      <c r="G3" s="72">
        <f>IF('26'!G11=0,"",'26'!G11)</f>
      </c>
      <c r="I3" s="10" t="str">
        <f>'25'!I4</f>
        <v>Effective Active Defense:</v>
      </c>
      <c r="J3" s="72">
        <f>'25'!J4</f>
      </c>
    </row>
    <row r="4" spans="3:10" ht="15.75">
      <c r="C4" s="16"/>
      <c r="D4" s="16"/>
      <c r="E4" s="10"/>
      <c r="G4" s="41"/>
      <c r="I4" s="32">
        <f>IF('29'!G6="choose","",'29'!G6)</f>
      </c>
      <c r="J4" s="85"/>
    </row>
    <row r="5" spans="3:7" ht="15.75">
      <c r="C5" s="16"/>
      <c r="D5" s="101"/>
      <c r="E5" s="10" t="s">
        <v>478</v>
      </c>
      <c r="G5" s="98" t="str">
        <f>'42'!G8</f>
        <v>choose</v>
      </c>
    </row>
    <row r="6" spans="3:7" ht="15.75">
      <c r="C6" s="16"/>
      <c r="D6" s="101"/>
      <c r="E6" s="10" t="s">
        <v>477</v>
      </c>
      <c r="G6" s="77">
        <f>'42'!G9</f>
      </c>
    </row>
    <row r="7" spans="3:11" ht="15.75">
      <c r="C7" s="16"/>
      <c r="D7" s="102"/>
      <c r="E7" s="10" t="s">
        <v>479</v>
      </c>
      <c r="G7" s="98">
        <f>'42'!G10</f>
      </c>
      <c r="I7" s="41"/>
      <c r="K7" s="101"/>
    </row>
    <row r="8" spans="3:11" ht="15.75">
      <c r="C8" s="16"/>
      <c r="D8" s="102"/>
      <c r="I8" s="66"/>
      <c r="K8" s="101"/>
    </row>
    <row r="9" spans="3:11" ht="15.75">
      <c r="C9" s="16"/>
      <c r="D9" s="102"/>
      <c r="I9" s="41"/>
      <c r="K9" s="101"/>
    </row>
    <row r="10" spans="3:9" ht="15.75">
      <c r="C10" s="16"/>
      <c r="D10" s="101"/>
      <c r="E10" s="10"/>
      <c r="G10" s="84"/>
      <c r="I10" s="41"/>
    </row>
    <row r="12" spans="5:9" ht="15.75">
      <c r="E12" s="10"/>
      <c r="G12" s="84"/>
      <c r="I12" s="27"/>
    </row>
  </sheetData>
  <mergeCells count="1">
    <mergeCell ref="C2:E2"/>
  </mergeCells>
  <hyperlinks>
    <hyperlink ref="G2" location="'47'!A1" display="[47]"/>
  </hyperlinks>
  <printOptions/>
  <pageMargins left="0.75" right="0.75" top="1" bottom="1" header="0.5" footer="0.5"/>
  <pageSetup horizontalDpi="300" verticalDpi="300" orientation="portrait" r:id="rId1"/>
</worksheet>
</file>

<file path=xl/worksheets/sheet47.xml><?xml version="1.0" encoding="utf-8"?>
<worksheet xmlns="http://schemas.openxmlformats.org/spreadsheetml/2006/main" xmlns:r="http://schemas.openxmlformats.org/officeDocument/2006/relationships">
  <sheetPr codeName="Sheet60"/>
  <dimension ref="A1:K11"/>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237" customHeight="1">
      <c r="A2" s="9" t="s">
        <v>15</v>
      </c>
      <c r="B2" s="9"/>
      <c r="C2" s="129" t="s">
        <v>37</v>
      </c>
      <c r="D2" s="140"/>
      <c r="E2" s="141"/>
      <c r="F2" s="35"/>
      <c r="G2" s="33" t="s">
        <v>16</v>
      </c>
      <c r="I2" s="82"/>
      <c r="J2" s="53"/>
    </row>
    <row r="3" spans="1:10" ht="15.75">
      <c r="A3" s="9"/>
      <c r="B3" s="9"/>
      <c r="C3" s="9"/>
      <c r="E3" s="10" t="str">
        <f>IF('26'!E7="Dodge:","Dodge Roll:",IF('26'!E7="Block:","Block Roll:",IF('26'!E7="Parry:","Parry Roll:","Active Defense Roll:")))</f>
        <v>Active Defense Roll:</v>
      </c>
      <c r="G3" s="72">
        <f>IF('26'!G11=0,"",'26'!G11)</f>
      </c>
      <c r="I3" s="10" t="str">
        <f>'25'!I4</f>
        <v>Effective Active Defense:</v>
      </c>
      <c r="J3" s="72">
        <f>'25'!J4</f>
      </c>
    </row>
    <row r="4" spans="3:10" ht="15.75">
      <c r="C4" s="16"/>
      <c r="D4" s="16"/>
      <c r="E4" s="10" t="s">
        <v>404</v>
      </c>
      <c r="G4" s="89">
        <f>'30'!G4</f>
      </c>
      <c r="I4" s="32">
        <f>IF('29'!G6="choose","",'29'!G6)</f>
      </c>
      <c r="J4" s="85"/>
    </row>
    <row r="5" spans="3:7" ht="15.75">
      <c r="C5" s="41"/>
      <c r="D5" s="16"/>
      <c r="E5" s="10" t="s">
        <v>415</v>
      </c>
      <c r="G5" s="90">
        <f>'30'!G19</f>
        <v>0</v>
      </c>
    </row>
    <row r="6" spans="3:7" ht="15.75">
      <c r="C6" s="41"/>
      <c r="D6" s="16"/>
      <c r="E6" s="16"/>
      <c r="G6" s="41"/>
    </row>
    <row r="7" spans="3:9" ht="15.75">
      <c r="C7" s="16"/>
      <c r="D7" s="16"/>
      <c r="E7" s="10" t="s">
        <v>445</v>
      </c>
      <c r="G7" s="98" t="str">
        <f>'35'!G8</f>
        <v>choose</v>
      </c>
      <c r="I7" s="99"/>
    </row>
    <row r="8" spans="3:9" ht="15.75">
      <c r="C8" s="41"/>
      <c r="D8" s="41"/>
      <c r="E8" s="10" t="s">
        <v>438</v>
      </c>
      <c r="G8" s="77">
        <f>'35'!G9</f>
      </c>
      <c r="I8" s="100">
        <f>'36'!I9</f>
      </c>
    </row>
    <row r="9" spans="5:7" ht="15.75">
      <c r="E9" s="10" t="s">
        <v>444</v>
      </c>
      <c r="G9" s="98">
        <f>'35'!G10</f>
      </c>
    </row>
    <row r="11" spans="5:9" ht="15.75">
      <c r="E11" s="10" t="s">
        <v>448</v>
      </c>
      <c r="G11" s="47">
        <f>'36'!G12</f>
      </c>
      <c r="I11" s="41">
        <f>IF(AND(ISNUMBER(G8),G8&gt;4),4,G8)</f>
      </c>
    </row>
  </sheetData>
  <mergeCells count="1">
    <mergeCell ref="C2:E2"/>
  </mergeCells>
  <hyperlinks>
    <hyperlink ref="G2" location="'47'!A1" display="[47]"/>
  </hyperlinks>
  <printOptions/>
  <pageMargins left="0.75" right="0.75" top="1" bottom="1" header="0.5" footer="0.5"/>
  <pageSetup horizontalDpi="300" verticalDpi="300" orientation="portrait" r:id="rId1"/>
</worksheet>
</file>

<file path=xl/worksheets/sheet48.xml><?xml version="1.0" encoding="utf-8"?>
<worksheet xmlns="http://schemas.openxmlformats.org/spreadsheetml/2006/main" xmlns:r="http://schemas.openxmlformats.org/officeDocument/2006/relationships">
  <sheetPr codeName="Sheet61"/>
  <dimension ref="A1:K12"/>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78.75" customHeight="1">
      <c r="A2" s="9" t="s">
        <v>16</v>
      </c>
      <c r="B2" s="9"/>
      <c r="C2" s="129" t="s">
        <v>486</v>
      </c>
      <c r="D2" s="140"/>
      <c r="E2" s="141"/>
      <c r="F2" s="35"/>
      <c r="G2" s="33" t="s">
        <v>36</v>
      </c>
      <c r="I2" s="82"/>
      <c r="J2" s="53"/>
    </row>
    <row r="3" spans="1:10" ht="15.75" customHeight="1">
      <c r="A3" s="9"/>
      <c r="B3" s="9"/>
      <c r="C3" s="129" t="s">
        <v>493</v>
      </c>
      <c r="D3" s="153"/>
      <c r="E3" s="154"/>
      <c r="F3" s="35"/>
      <c r="G3" s="33" t="s">
        <v>43</v>
      </c>
      <c r="I3" s="82"/>
      <c r="J3" s="53"/>
    </row>
    <row r="4" spans="1:10" ht="15.75">
      <c r="A4" s="9"/>
      <c r="B4" s="9"/>
      <c r="C4" s="9"/>
      <c r="E4" s="10" t="str">
        <f>IF('26'!E7="Dodge:","Dodge Roll:",IF('26'!E7="Block:","Block Roll:",IF('26'!E7="Parry:","Parry Roll:","Active Defense Roll:")))</f>
        <v>Active Defense Roll:</v>
      </c>
      <c r="G4" s="72">
        <f>IF('26'!G11=0,"",'26'!G11)</f>
      </c>
      <c r="I4" s="10" t="str">
        <f>'25'!I4</f>
        <v>Effective Active Defense:</v>
      </c>
      <c r="J4" s="72">
        <f>'25'!J4</f>
      </c>
    </row>
    <row r="5" spans="3:10" ht="15.75">
      <c r="C5" s="16"/>
      <c r="D5" s="16"/>
      <c r="E5" s="10" t="s">
        <v>404</v>
      </c>
      <c r="G5" s="89">
        <f>'30'!G4</f>
      </c>
      <c r="I5" s="32">
        <f>IF('29'!G6="choose","",'29'!G6)</f>
      </c>
      <c r="J5" s="85"/>
    </row>
    <row r="6" spans="3:7" ht="15.75">
      <c r="C6" s="41"/>
      <c r="D6" s="16"/>
      <c r="E6" s="10" t="s">
        <v>415</v>
      </c>
      <c r="G6" s="90">
        <f>'30'!G19</f>
        <v>0</v>
      </c>
    </row>
    <row r="7" spans="3:7" ht="15.75">
      <c r="C7" s="41"/>
      <c r="D7" s="16"/>
      <c r="E7" s="16"/>
      <c r="G7" s="41"/>
    </row>
    <row r="8" spans="3:9" ht="15.75">
      <c r="C8" s="16"/>
      <c r="D8" s="16"/>
      <c r="E8" s="10" t="s">
        <v>445</v>
      </c>
      <c r="G8" s="98" t="str">
        <f>'35'!G8</f>
        <v>choose</v>
      </c>
      <c r="I8" s="99"/>
    </row>
    <row r="9" spans="3:9" ht="15.75">
      <c r="C9" s="41"/>
      <c r="D9" s="41"/>
      <c r="E9" s="10" t="s">
        <v>438</v>
      </c>
      <c r="G9" s="77">
        <f>'35'!G9</f>
      </c>
      <c r="I9" s="100">
        <f>'36'!I9</f>
      </c>
    </row>
    <row r="10" spans="5:7" ht="15.75">
      <c r="E10" s="10" t="s">
        <v>444</v>
      </c>
      <c r="G10" s="98">
        <f>'35'!G10</f>
      </c>
    </row>
    <row r="12" spans="5:9" ht="15.75">
      <c r="E12" s="10" t="s">
        <v>448</v>
      </c>
      <c r="G12" s="47">
        <f>'36'!G12</f>
      </c>
      <c r="I12" s="41">
        <f>IF(AND(ISNUMBER(G9),G9&gt;4),4,G9)</f>
      </c>
    </row>
  </sheetData>
  <mergeCells count="2">
    <mergeCell ref="C2:E2"/>
    <mergeCell ref="C3:E3"/>
  </mergeCells>
  <hyperlinks>
    <hyperlink ref="G2" location="'53'!A1" display="[53]"/>
    <hyperlink ref="G3" location="'1'!A1" display="[1]"/>
  </hyperlinks>
  <printOptions/>
  <pageMargins left="0.75" right="0.75" top="1" bottom="1" header="0.5" footer="0.5"/>
  <pageSetup horizontalDpi="300" verticalDpi="300" orientation="portrait" r:id="rId1"/>
</worksheet>
</file>

<file path=xl/worksheets/sheet49.xml><?xml version="1.0" encoding="utf-8"?>
<worksheet xmlns="http://schemas.openxmlformats.org/spreadsheetml/2006/main" xmlns:r="http://schemas.openxmlformats.org/officeDocument/2006/relationships">
  <sheetPr codeName="Sheet62"/>
  <dimension ref="A1:K12"/>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78.75" customHeight="1">
      <c r="A2" s="9" t="s">
        <v>18</v>
      </c>
      <c r="B2" s="9"/>
      <c r="C2" s="129" t="s">
        <v>487</v>
      </c>
      <c r="D2" s="140"/>
      <c r="E2" s="141"/>
      <c r="F2" s="35"/>
      <c r="G2" s="33" t="s">
        <v>36</v>
      </c>
      <c r="I2" s="82"/>
      <c r="J2" s="53"/>
    </row>
    <row r="3" spans="1:10" ht="15.75" customHeight="1">
      <c r="A3" s="9"/>
      <c r="B3" s="9"/>
      <c r="C3" s="129" t="s">
        <v>493</v>
      </c>
      <c r="D3" s="153"/>
      <c r="E3" s="154"/>
      <c r="F3" s="35"/>
      <c r="G3" s="33" t="s">
        <v>43</v>
      </c>
      <c r="I3" s="82"/>
      <c r="J3" s="53"/>
    </row>
    <row r="4" spans="1:10" ht="15.75">
      <c r="A4" s="9"/>
      <c r="B4" s="9"/>
      <c r="C4" s="9"/>
      <c r="E4" s="10" t="str">
        <f>IF('26'!E7="Dodge:","Dodge Roll:",IF('26'!E7="Block:","Block Roll:",IF('26'!E7="Parry:","Parry Roll:","Active Defense Roll:")))</f>
        <v>Active Defense Roll:</v>
      </c>
      <c r="G4" s="72">
        <f>IF('26'!G11=0,"",'26'!G11)</f>
      </c>
      <c r="I4" s="10" t="str">
        <f>'25'!I4</f>
        <v>Effective Active Defense:</v>
      </c>
      <c r="J4" s="72">
        <f>'25'!J4</f>
      </c>
    </row>
    <row r="5" spans="1:11" s="110" customFormat="1" ht="15.75">
      <c r="A5" s="65"/>
      <c r="B5" s="106"/>
      <c r="C5" s="78"/>
      <c r="D5" s="78"/>
      <c r="E5" s="107"/>
      <c r="F5" s="65"/>
      <c r="G5" s="78"/>
      <c r="H5" s="65"/>
      <c r="I5" s="108"/>
      <c r="J5" s="109"/>
      <c r="K5" s="65"/>
    </row>
    <row r="6" spans="1:11" s="110" customFormat="1" ht="15.75">
      <c r="A6" s="65"/>
      <c r="B6" s="106"/>
      <c r="C6" s="92"/>
      <c r="D6" s="78"/>
      <c r="E6" s="107"/>
      <c r="F6" s="65"/>
      <c r="G6" s="78"/>
      <c r="H6" s="65"/>
      <c r="I6" s="65"/>
      <c r="J6" s="65"/>
      <c r="K6" s="65"/>
    </row>
    <row r="7" spans="1:11" s="110" customFormat="1" ht="15.75">
      <c r="A7" s="65"/>
      <c r="B7" s="106"/>
      <c r="C7" s="92"/>
      <c r="D7" s="78"/>
      <c r="E7" s="78"/>
      <c r="F7" s="65"/>
      <c r="G7" s="92"/>
      <c r="H7" s="65"/>
      <c r="I7" s="65"/>
      <c r="J7" s="65"/>
      <c r="K7" s="65"/>
    </row>
    <row r="8" spans="1:11" s="110" customFormat="1" ht="15.75">
      <c r="A8" s="65"/>
      <c r="B8" s="106"/>
      <c r="C8" s="78"/>
      <c r="D8" s="78"/>
      <c r="E8" s="107"/>
      <c r="F8" s="65"/>
      <c r="G8" s="78"/>
      <c r="H8" s="65"/>
      <c r="I8" s="111"/>
      <c r="J8" s="65"/>
      <c r="K8" s="65"/>
    </row>
    <row r="9" spans="1:11" s="110" customFormat="1" ht="15.75">
      <c r="A9" s="65"/>
      <c r="B9" s="106"/>
      <c r="C9" s="92"/>
      <c r="D9" s="92"/>
      <c r="E9" s="107"/>
      <c r="F9" s="65"/>
      <c r="G9" s="78"/>
      <c r="H9" s="65"/>
      <c r="I9" s="112"/>
      <c r="J9" s="65"/>
      <c r="K9" s="65"/>
    </row>
    <row r="10" spans="1:11" s="110" customFormat="1" ht="15.75">
      <c r="A10" s="65"/>
      <c r="B10" s="106"/>
      <c r="C10" s="65"/>
      <c r="D10" s="65"/>
      <c r="E10" s="107"/>
      <c r="F10" s="65"/>
      <c r="G10" s="78"/>
      <c r="H10" s="65"/>
      <c r="I10" s="65"/>
      <c r="J10" s="65"/>
      <c r="K10" s="65"/>
    </row>
    <row r="11" spans="1:11" s="110" customFormat="1" ht="15.75">
      <c r="A11" s="65"/>
      <c r="B11" s="106"/>
      <c r="C11" s="65"/>
      <c r="D11" s="65"/>
      <c r="E11" s="65"/>
      <c r="F11" s="65"/>
      <c r="G11" s="78"/>
      <c r="H11" s="65"/>
      <c r="I11" s="65"/>
      <c r="J11" s="65"/>
      <c r="K11" s="65"/>
    </row>
    <row r="12" spans="1:11" s="110" customFormat="1" ht="15.75">
      <c r="A12" s="65"/>
      <c r="B12" s="106"/>
      <c r="C12" s="65"/>
      <c r="D12" s="65"/>
      <c r="E12" s="107"/>
      <c r="F12" s="65"/>
      <c r="G12" s="78"/>
      <c r="H12" s="65"/>
      <c r="I12" s="92"/>
      <c r="J12" s="65"/>
      <c r="K12" s="65"/>
    </row>
  </sheetData>
  <mergeCells count="2">
    <mergeCell ref="C2:E2"/>
    <mergeCell ref="C3:E3"/>
  </mergeCells>
  <hyperlinks>
    <hyperlink ref="G2" location="'53'!A1" display="[53]"/>
    <hyperlink ref="G3" location="'1'!A1" display="[1]"/>
  </hyperlink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7"/>
  <dimension ref="A1:J24"/>
  <sheetViews>
    <sheetView workbookViewId="0" topLeftCell="A1">
      <selection activeCell="A1" sqref="A1"/>
    </sheetView>
  </sheetViews>
  <sheetFormatPr defaultColWidth="8.796875" defaultRowHeight="15"/>
  <cols>
    <col min="1" max="1" width="5.19921875" style="0" customWidth="1"/>
    <col min="2" max="2" width="0.8984375" style="0" customWidth="1"/>
    <col min="3" max="3" width="45.69921875" style="0" customWidth="1"/>
    <col min="4" max="4" width="0.8984375" style="0" customWidth="1"/>
    <col min="5" max="5" width="7.69921875" style="23" customWidth="1"/>
    <col min="6" max="6" width="0.8984375" style="0" customWidth="1"/>
    <col min="7" max="7" width="15.5" style="21" customWidth="1"/>
    <col min="8" max="9" width="7.69921875" style="0" customWidth="1"/>
  </cols>
  <sheetData>
    <row r="1" spans="1:10" ht="16.5" thickBot="1">
      <c r="A1" s="7"/>
      <c r="B1" s="7"/>
      <c r="C1" s="7"/>
      <c r="D1" s="7"/>
      <c r="E1" s="2"/>
      <c r="F1" s="7"/>
      <c r="G1" s="4" t="s">
        <v>72</v>
      </c>
      <c r="H1" s="19">
        <f>2!H1</f>
        <v>0</v>
      </c>
      <c r="I1" s="2" t="str">
        <f>IF(5!G4&lt;&gt;0,5!K1,3!K1)</f>
        <v>Torso</v>
      </c>
      <c r="J1" s="7"/>
    </row>
    <row r="2" spans="1:10" ht="63">
      <c r="A2" s="9" t="s">
        <v>47</v>
      </c>
      <c r="B2" s="7"/>
      <c r="C2" s="18" t="s">
        <v>291</v>
      </c>
      <c r="D2" s="7"/>
      <c r="E2" s="33" t="s">
        <v>73</v>
      </c>
      <c r="F2" s="7"/>
      <c r="G2" s="22"/>
      <c r="H2" s="22"/>
      <c r="I2" s="7"/>
      <c r="J2" s="7"/>
    </row>
    <row r="3" spans="1:10" ht="15.75">
      <c r="A3" s="9"/>
      <c r="B3" s="7"/>
      <c r="C3" s="14" t="s">
        <v>292</v>
      </c>
      <c r="D3" s="7"/>
      <c r="E3" s="33" t="s">
        <v>74</v>
      </c>
      <c r="F3" s="7"/>
      <c r="G3" s="2"/>
      <c r="H3" s="7"/>
      <c r="I3" s="7"/>
      <c r="J3" s="7"/>
    </row>
    <row r="4" spans="1:10" ht="15.75">
      <c r="A4" s="9"/>
      <c r="B4" s="7"/>
      <c r="C4" s="4"/>
      <c r="D4" s="7"/>
      <c r="E4" s="12"/>
      <c r="F4" s="7"/>
      <c r="G4" s="7"/>
      <c r="H4" s="7"/>
      <c r="I4" s="7"/>
      <c r="J4" s="7"/>
    </row>
    <row r="5" spans="1:10" ht="15.75">
      <c r="A5" s="7"/>
      <c r="B5" s="7"/>
      <c r="C5" s="7"/>
      <c r="D5" s="7"/>
      <c r="E5" s="2"/>
      <c r="F5" s="7"/>
      <c r="G5" s="7"/>
      <c r="H5" s="7"/>
      <c r="I5" s="7"/>
      <c r="J5" s="7"/>
    </row>
    <row r="6" spans="1:10" ht="15.75">
      <c r="A6" s="7"/>
      <c r="B6" s="7"/>
      <c r="C6" s="7"/>
      <c r="D6" s="7"/>
      <c r="E6" s="2"/>
      <c r="F6" s="7"/>
      <c r="G6" s="7"/>
      <c r="H6" s="7"/>
      <c r="I6" s="7"/>
      <c r="J6" s="7"/>
    </row>
    <row r="7" spans="1:10" ht="15.75">
      <c r="A7" s="7"/>
      <c r="B7" s="7"/>
      <c r="C7" s="7"/>
      <c r="D7" s="7"/>
      <c r="E7" s="2"/>
      <c r="F7" s="7"/>
      <c r="G7" s="7"/>
      <c r="H7" s="7"/>
      <c r="I7" s="7"/>
      <c r="J7" s="7"/>
    </row>
    <row r="8" spans="1:10" ht="15.75">
      <c r="A8" s="7"/>
      <c r="B8" s="7"/>
      <c r="C8" s="7"/>
      <c r="D8" s="7"/>
      <c r="E8" s="2"/>
      <c r="F8" s="7"/>
      <c r="G8" s="7"/>
      <c r="H8" s="7"/>
      <c r="I8" s="7"/>
      <c r="J8" s="7"/>
    </row>
    <row r="9" spans="1:10" ht="15.75">
      <c r="A9" s="7"/>
      <c r="B9" s="7"/>
      <c r="C9" s="7"/>
      <c r="D9" s="7"/>
      <c r="E9" s="2"/>
      <c r="F9" s="7"/>
      <c r="G9" s="7"/>
      <c r="H9" s="7"/>
      <c r="I9" s="7"/>
      <c r="J9" s="7"/>
    </row>
    <row r="10" spans="1:10" ht="15.75">
      <c r="A10" s="7"/>
      <c r="B10" s="7"/>
      <c r="C10" s="7"/>
      <c r="D10" s="7"/>
      <c r="E10" s="2"/>
      <c r="F10" s="7"/>
      <c r="G10" s="7"/>
      <c r="H10" s="7"/>
      <c r="I10" s="7"/>
      <c r="J10" s="7"/>
    </row>
    <row r="11" spans="1:10" ht="15.75">
      <c r="A11" s="7"/>
      <c r="B11" s="7"/>
      <c r="C11" s="7"/>
      <c r="D11" s="7"/>
      <c r="E11" s="2"/>
      <c r="F11" s="7"/>
      <c r="G11" s="7"/>
      <c r="H11" s="7"/>
      <c r="I11" s="7"/>
      <c r="J11" s="7"/>
    </row>
    <row r="12" spans="1:10" ht="15.75">
      <c r="A12" s="7"/>
      <c r="B12" s="7"/>
      <c r="C12" s="7"/>
      <c r="D12" s="7"/>
      <c r="E12" s="2"/>
      <c r="F12" s="7"/>
      <c r="G12" s="7"/>
      <c r="H12" s="7"/>
      <c r="I12" s="7"/>
      <c r="J12" s="7"/>
    </row>
    <row r="13" spans="1:10" ht="15.75">
      <c r="A13" s="7"/>
      <c r="B13" s="7"/>
      <c r="C13" s="7"/>
      <c r="D13" s="7"/>
      <c r="E13" s="2"/>
      <c r="F13" s="7"/>
      <c r="G13" s="7"/>
      <c r="H13" s="7"/>
      <c r="I13" s="7"/>
      <c r="J13" s="7"/>
    </row>
    <row r="14" spans="1:10" ht="15.75">
      <c r="A14" s="7"/>
      <c r="B14" s="7"/>
      <c r="C14" s="7"/>
      <c r="D14" s="7"/>
      <c r="E14" s="2"/>
      <c r="F14" s="7"/>
      <c r="G14" s="7"/>
      <c r="H14" s="7"/>
      <c r="I14" s="7"/>
      <c r="J14" s="7"/>
    </row>
    <row r="15" spans="1:10" ht="15.75">
      <c r="A15" s="7"/>
      <c r="B15" s="7"/>
      <c r="C15" s="7"/>
      <c r="D15" s="7"/>
      <c r="E15" s="2"/>
      <c r="F15" s="7"/>
      <c r="G15" s="7"/>
      <c r="H15" s="7"/>
      <c r="I15" s="7"/>
      <c r="J15" s="7"/>
    </row>
    <row r="16" spans="1:10" ht="15.75">
      <c r="A16" s="7"/>
      <c r="B16" s="7"/>
      <c r="C16" s="7"/>
      <c r="D16" s="7"/>
      <c r="E16" s="2"/>
      <c r="F16" s="7"/>
      <c r="G16" s="7"/>
      <c r="H16" s="7"/>
      <c r="I16" s="7"/>
      <c r="J16" s="7"/>
    </row>
    <row r="17" spans="1:10" ht="15.75">
      <c r="A17" s="7"/>
      <c r="B17" s="7"/>
      <c r="C17" s="7"/>
      <c r="D17" s="7"/>
      <c r="E17" s="2"/>
      <c r="F17" s="7"/>
      <c r="G17" s="7"/>
      <c r="H17" s="7"/>
      <c r="I17" s="7"/>
      <c r="J17" s="7"/>
    </row>
    <row r="18" spans="1:10" ht="15.75">
      <c r="A18" s="7"/>
      <c r="B18" s="7"/>
      <c r="C18" s="7"/>
      <c r="D18" s="7"/>
      <c r="E18" s="2"/>
      <c r="F18" s="7"/>
      <c r="G18" s="7"/>
      <c r="H18" s="7"/>
      <c r="I18" s="7"/>
      <c r="J18" s="7"/>
    </row>
    <row r="19" spans="1:10" ht="15.75">
      <c r="A19" s="7"/>
      <c r="B19" s="7"/>
      <c r="C19" s="7"/>
      <c r="D19" s="7"/>
      <c r="E19" s="2"/>
      <c r="F19" s="7"/>
      <c r="G19" s="7"/>
      <c r="H19" s="7"/>
      <c r="I19" s="7"/>
      <c r="J19" s="7"/>
    </row>
    <row r="20" spans="1:10" ht="15.75">
      <c r="A20" s="7"/>
      <c r="B20" s="7"/>
      <c r="C20" s="7"/>
      <c r="D20" s="7"/>
      <c r="E20" s="2"/>
      <c r="F20" s="7"/>
      <c r="G20" s="7"/>
      <c r="H20" s="7"/>
      <c r="I20" s="7"/>
      <c r="J20" s="7"/>
    </row>
    <row r="21" spans="1:10" ht="15.75">
      <c r="A21" s="7"/>
      <c r="B21" s="7"/>
      <c r="C21" s="7"/>
      <c r="D21" s="7"/>
      <c r="E21" s="2"/>
      <c r="F21" s="7"/>
      <c r="G21" s="7"/>
      <c r="H21" s="7"/>
      <c r="I21" s="7"/>
      <c r="J21" s="7"/>
    </row>
    <row r="22" spans="1:10" ht="15.75">
      <c r="A22" s="7"/>
      <c r="B22" s="7"/>
      <c r="C22" s="7"/>
      <c r="D22" s="7"/>
      <c r="E22" s="2"/>
      <c r="F22" s="7"/>
      <c r="G22" s="7"/>
      <c r="H22" s="7"/>
      <c r="I22" s="7"/>
      <c r="J22" s="7"/>
    </row>
    <row r="23" spans="1:10" ht="15.75">
      <c r="A23" s="7"/>
      <c r="B23" s="7"/>
      <c r="C23" s="7"/>
      <c r="D23" s="7"/>
      <c r="E23" s="2"/>
      <c r="F23" s="7"/>
      <c r="G23" s="7"/>
      <c r="H23" s="7"/>
      <c r="I23" s="7"/>
      <c r="J23" s="7"/>
    </row>
    <row r="24" spans="1:10" ht="15.75">
      <c r="A24" s="7"/>
      <c r="B24" s="7"/>
      <c r="C24" s="7"/>
      <c r="D24" s="7"/>
      <c r="E24" s="2"/>
      <c r="F24" s="7"/>
      <c r="G24" s="7"/>
      <c r="H24" s="7"/>
      <c r="I24" s="7"/>
      <c r="J24" s="7"/>
    </row>
  </sheetData>
  <dataValidations count="1">
    <dataValidation allowBlank="1" showErrorMessage="1" promptTitle="Unmodified Weapon Skill" prompt="Select your Unmodified Weapon Skill from the range 0 to 35." sqref="E2:E4"/>
  </dataValidations>
  <hyperlinks>
    <hyperlink ref="E2" location="'6'!A1" display="[6]"/>
    <hyperlink ref="E3" location="'5'!A1" display="[5]"/>
  </hyperlinks>
  <printOptions/>
  <pageMargins left="0.75" right="0.75" top="1" bottom="1" header="0.5" footer="0.5"/>
  <pageSetup horizontalDpi="300" verticalDpi="300" orientation="portrait" r:id="rId1"/>
</worksheet>
</file>

<file path=xl/worksheets/sheet50.xml><?xml version="1.0" encoding="utf-8"?>
<worksheet xmlns="http://schemas.openxmlformats.org/spreadsheetml/2006/main" xmlns:r="http://schemas.openxmlformats.org/officeDocument/2006/relationships">
  <sheetPr codeName="Sheet63"/>
  <dimension ref="A1:K12"/>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93" customHeight="1">
      <c r="A2" s="9" t="s">
        <v>24</v>
      </c>
      <c r="B2" s="9"/>
      <c r="C2" s="129" t="s">
        <v>488</v>
      </c>
      <c r="D2" s="140"/>
      <c r="E2" s="141"/>
      <c r="F2" s="35"/>
      <c r="G2" s="33" t="s">
        <v>36</v>
      </c>
      <c r="I2" s="82"/>
      <c r="J2" s="53"/>
    </row>
    <row r="3" spans="1:10" ht="15.75" customHeight="1">
      <c r="A3" s="9"/>
      <c r="B3" s="9"/>
      <c r="C3" s="129" t="s">
        <v>493</v>
      </c>
      <c r="D3" s="153"/>
      <c r="E3" s="154"/>
      <c r="F3" s="35"/>
      <c r="G3" s="33" t="s">
        <v>43</v>
      </c>
      <c r="I3" s="82"/>
      <c r="J3" s="53"/>
    </row>
    <row r="4" spans="1:10" ht="15.75">
      <c r="A4" s="9"/>
      <c r="B4" s="9"/>
      <c r="C4" s="9"/>
      <c r="E4" s="10" t="str">
        <f>IF('26'!E7="Dodge:","Dodge Roll:",IF('26'!E7="Block:","Block Roll:",IF('26'!E7="Parry:","Parry Roll:","Active Defense Roll:")))</f>
        <v>Active Defense Roll:</v>
      </c>
      <c r="G4" s="72">
        <f>IF('26'!G11=0,"",'26'!G11)</f>
      </c>
      <c r="I4" s="10" t="str">
        <f>'25'!I4</f>
        <v>Effective Active Defense:</v>
      </c>
      <c r="J4" s="72">
        <f>'25'!J4</f>
      </c>
    </row>
    <row r="5" spans="3:10" ht="15.75">
      <c r="C5" s="16"/>
      <c r="D5" s="16"/>
      <c r="E5" s="10" t="s">
        <v>404</v>
      </c>
      <c r="G5" s="89">
        <f>'30'!G4</f>
      </c>
      <c r="I5" s="32">
        <f>IF('29'!G6="choose","",'29'!G6)</f>
      </c>
      <c r="J5" s="85"/>
    </row>
    <row r="6" spans="3:7" ht="15.75">
      <c r="C6" s="41"/>
      <c r="D6" s="16"/>
      <c r="E6" s="10" t="s">
        <v>415</v>
      </c>
      <c r="G6" s="90">
        <f>'30'!G19</f>
        <v>0</v>
      </c>
    </row>
    <row r="7" spans="3:7" ht="15.75">
      <c r="C7" s="41"/>
      <c r="D7" s="16"/>
      <c r="E7" s="16"/>
      <c r="G7" s="41"/>
    </row>
    <row r="8" spans="3:9" ht="15.75">
      <c r="C8" s="16"/>
      <c r="D8" s="16"/>
      <c r="E8" s="10" t="s">
        <v>445</v>
      </c>
      <c r="G8" s="98" t="str">
        <f>'35'!G8</f>
        <v>choose</v>
      </c>
      <c r="I8" s="99"/>
    </row>
    <row r="9" spans="3:9" ht="15.75">
      <c r="C9" s="41"/>
      <c r="D9" s="41"/>
      <c r="E9" s="10" t="s">
        <v>438</v>
      </c>
      <c r="G9" s="77">
        <f>'35'!G9</f>
      </c>
      <c r="I9" s="100">
        <f>'36'!I9</f>
      </c>
    </row>
    <row r="10" spans="5:7" ht="15.75">
      <c r="E10" s="10" t="s">
        <v>444</v>
      </c>
      <c r="G10" s="98">
        <f>'35'!G10</f>
      </c>
    </row>
    <row r="12" spans="5:9" ht="15.75">
      <c r="E12" s="10" t="s">
        <v>448</v>
      </c>
      <c r="G12" s="47">
        <f>'36'!G12</f>
      </c>
      <c r="I12" s="41">
        <f>IF(AND(ISNUMBER(G9),G9&gt;4),4,G9)</f>
      </c>
    </row>
  </sheetData>
  <mergeCells count="2">
    <mergeCell ref="C2:E2"/>
    <mergeCell ref="C3:E3"/>
  </mergeCells>
  <hyperlinks>
    <hyperlink ref="G2" location="'53'!A1" display="[53]"/>
    <hyperlink ref="G3" location="'1'!A1" display="[1]"/>
  </hyperlinks>
  <printOptions/>
  <pageMargins left="0.75" right="0.75" top="1" bottom="1" header="0.5" footer="0.5"/>
  <pageSetup horizontalDpi="300" verticalDpi="300" orientation="portrait" r:id="rId1"/>
</worksheet>
</file>

<file path=xl/worksheets/sheet51.xml><?xml version="1.0" encoding="utf-8"?>
<worksheet xmlns="http://schemas.openxmlformats.org/spreadsheetml/2006/main" xmlns:r="http://schemas.openxmlformats.org/officeDocument/2006/relationships">
  <sheetPr codeName="Sheet64"/>
  <dimension ref="A1:K12"/>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78.75" customHeight="1">
      <c r="A2" s="9" t="s">
        <v>26</v>
      </c>
      <c r="B2" s="9"/>
      <c r="C2" s="129" t="s">
        <v>489</v>
      </c>
      <c r="D2" s="140"/>
      <c r="E2" s="141"/>
      <c r="F2" s="35"/>
      <c r="G2" s="33" t="s">
        <v>36</v>
      </c>
      <c r="I2" s="82"/>
      <c r="J2" s="53"/>
    </row>
    <row r="3" spans="1:10" ht="15.75" customHeight="1">
      <c r="A3" s="9"/>
      <c r="B3" s="9"/>
      <c r="C3" s="129" t="s">
        <v>493</v>
      </c>
      <c r="D3" s="153"/>
      <c r="E3" s="154"/>
      <c r="F3" s="35"/>
      <c r="G3" s="33" t="s">
        <v>43</v>
      </c>
      <c r="I3" s="82"/>
      <c r="J3" s="53"/>
    </row>
    <row r="4" spans="1:10" ht="15.75">
      <c r="A4" s="9"/>
      <c r="B4" s="9"/>
      <c r="C4" s="9"/>
      <c r="E4" s="10" t="str">
        <f>IF('26'!E7="Dodge:","Dodge Roll:",IF('26'!E7="Block:","Block Roll:",IF('26'!E7="Parry:","Parry Roll:","Active Defense Roll:")))</f>
        <v>Active Defense Roll:</v>
      </c>
      <c r="G4" s="72">
        <f>IF('26'!G11=0,"",'26'!G11)</f>
      </c>
      <c r="I4" s="10" t="str">
        <f>'25'!I4</f>
        <v>Effective Active Defense:</v>
      </c>
      <c r="J4" s="72">
        <f>'25'!J4</f>
      </c>
    </row>
    <row r="5" spans="3:10" ht="15.75">
      <c r="C5" s="16"/>
      <c r="D5" s="16"/>
      <c r="E5" s="10" t="s">
        <v>404</v>
      </c>
      <c r="G5" s="89">
        <f>'30'!G4</f>
      </c>
      <c r="I5" s="32">
        <f>IF('29'!G6="choose","",'29'!G6)</f>
      </c>
      <c r="J5" s="85"/>
    </row>
    <row r="6" spans="3:7" ht="15.75">
      <c r="C6" s="41"/>
      <c r="D6" s="16"/>
      <c r="E6" s="10" t="s">
        <v>415</v>
      </c>
      <c r="G6" s="90">
        <f>'30'!G19</f>
        <v>0</v>
      </c>
    </row>
    <row r="7" spans="3:7" ht="15.75">
      <c r="C7" s="41"/>
      <c r="D7" s="16"/>
      <c r="E7" s="16"/>
      <c r="G7" s="41"/>
    </row>
    <row r="8" spans="3:9" ht="15.75">
      <c r="C8" s="16"/>
      <c r="D8" s="16"/>
      <c r="E8" s="10" t="s">
        <v>445</v>
      </c>
      <c r="G8" s="98" t="str">
        <f>'35'!G8</f>
        <v>choose</v>
      </c>
      <c r="I8" s="99"/>
    </row>
    <row r="9" spans="3:9" ht="15.75">
      <c r="C9" s="41"/>
      <c r="D9" s="41"/>
      <c r="E9" s="10" t="s">
        <v>438</v>
      </c>
      <c r="G9" s="77">
        <f>'35'!G9</f>
      </c>
      <c r="I9" s="100">
        <f>'36'!I9</f>
      </c>
    </row>
    <row r="10" spans="5:7" ht="15.75">
      <c r="E10" s="10" t="s">
        <v>444</v>
      </c>
      <c r="G10" s="98">
        <f>'35'!G10</f>
      </c>
    </row>
    <row r="12" spans="5:9" ht="15.75">
      <c r="E12" s="10" t="s">
        <v>448</v>
      </c>
      <c r="G12" s="47">
        <f>'36'!G12</f>
      </c>
      <c r="I12" s="41">
        <f>IF(AND(ISNUMBER(G9),G9&gt;4),4,G9)</f>
      </c>
    </row>
  </sheetData>
  <mergeCells count="2">
    <mergeCell ref="C2:E2"/>
    <mergeCell ref="C3:E3"/>
  </mergeCells>
  <hyperlinks>
    <hyperlink ref="G2" location="'53'!A1" display="[53]"/>
    <hyperlink ref="G3" location="'1'!A1" display="[1]"/>
  </hyperlinks>
  <printOptions/>
  <pageMargins left="0.75" right="0.75" top="1" bottom="1" header="0.5" footer="0.5"/>
  <pageSetup horizontalDpi="300" verticalDpi="300" orientation="portrait" r:id="rId1"/>
</worksheet>
</file>

<file path=xl/worksheets/sheet52.xml><?xml version="1.0" encoding="utf-8"?>
<worksheet xmlns="http://schemas.openxmlformats.org/spreadsheetml/2006/main" xmlns:r="http://schemas.openxmlformats.org/officeDocument/2006/relationships">
  <sheetPr codeName="Sheet65"/>
  <dimension ref="A1:K12"/>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78.75" customHeight="1">
      <c r="A2" s="9" t="s">
        <v>30</v>
      </c>
      <c r="B2" s="9"/>
      <c r="C2" s="129" t="s">
        <v>490</v>
      </c>
      <c r="D2" s="140"/>
      <c r="E2" s="141"/>
      <c r="F2" s="35"/>
      <c r="G2" s="33" t="s">
        <v>36</v>
      </c>
      <c r="I2" s="82"/>
      <c r="J2" s="53"/>
    </row>
    <row r="3" spans="1:10" ht="15.75" customHeight="1">
      <c r="A3" s="9"/>
      <c r="B3" s="9"/>
      <c r="C3" s="129" t="s">
        <v>493</v>
      </c>
      <c r="D3" s="153"/>
      <c r="E3" s="154"/>
      <c r="F3" s="35"/>
      <c r="G3" s="33" t="s">
        <v>43</v>
      </c>
      <c r="I3" s="82"/>
      <c r="J3" s="53"/>
    </row>
    <row r="4" spans="1:10" ht="15.75">
      <c r="A4" s="9"/>
      <c r="B4" s="9"/>
      <c r="C4" s="9"/>
      <c r="E4" s="10" t="str">
        <f>IF('26'!E7="Dodge:","Dodge Roll:",IF('26'!E7="Block:","Block Roll:",IF('26'!E7="Parry:","Parry Roll:","Active Defense Roll:")))</f>
        <v>Active Defense Roll:</v>
      </c>
      <c r="G4" s="72">
        <f>IF('26'!G11=0,"",'26'!G11)</f>
      </c>
      <c r="I4" s="10" t="str">
        <f>'25'!I4</f>
        <v>Effective Active Defense:</v>
      </c>
      <c r="J4" s="72">
        <f>'25'!J4</f>
      </c>
    </row>
    <row r="5" spans="3:10" ht="15.75">
      <c r="C5" s="16"/>
      <c r="D5" s="16"/>
      <c r="E5" s="10" t="s">
        <v>404</v>
      </c>
      <c r="G5" s="89">
        <f>'30'!G4</f>
      </c>
      <c r="I5" s="32">
        <f>IF('29'!G6="choose","",'29'!G6)</f>
      </c>
      <c r="J5" s="85"/>
    </row>
    <row r="6" spans="3:7" ht="15.75">
      <c r="C6" s="41"/>
      <c r="D6" s="16"/>
      <c r="E6" s="10" t="s">
        <v>415</v>
      </c>
      <c r="G6" s="90">
        <f>'30'!G19</f>
        <v>0</v>
      </c>
    </row>
    <row r="7" spans="3:7" ht="15.75">
      <c r="C7" s="41"/>
      <c r="D7" s="16"/>
      <c r="E7" s="16"/>
      <c r="G7" s="41"/>
    </row>
    <row r="8" spans="3:9" ht="15.75">
      <c r="C8" s="16"/>
      <c r="D8" s="16"/>
      <c r="E8" s="10" t="s">
        <v>445</v>
      </c>
      <c r="G8" s="98" t="str">
        <f>'35'!G8</f>
        <v>choose</v>
      </c>
      <c r="I8" s="99"/>
    </row>
    <row r="9" spans="3:9" ht="15.75">
      <c r="C9" s="41"/>
      <c r="D9" s="41"/>
      <c r="E9" s="10" t="s">
        <v>438</v>
      </c>
      <c r="G9" s="77">
        <f>'35'!G9</f>
      </c>
      <c r="I9" s="100">
        <f>'36'!I9</f>
      </c>
    </row>
    <row r="10" spans="5:7" ht="15.75">
      <c r="E10" s="10" t="s">
        <v>444</v>
      </c>
      <c r="G10" s="98">
        <f>'35'!G10</f>
      </c>
    </row>
    <row r="12" spans="5:9" ht="15.75">
      <c r="E12" s="10" t="s">
        <v>448</v>
      </c>
      <c r="G12" s="47">
        <f>'36'!G12</f>
      </c>
      <c r="I12" s="41">
        <f>IF(AND(ISNUMBER(G9),G9&gt;4),4,G9)</f>
      </c>
    </row>
  </sheetData>
  <mergeCells count="2">
    <mergeCell ref="C2:E2"/>
    <mergeCell ref="C3:E3"/>
  </mergeCells>
  <hyperlinks>
    <hyperlink ref="G2" location="'53'!A1" display="[53]"/>
    <hyperlink ref="G3" location="'1'!A1" display="[1]"/>
  </hyperlinks>
  <printOptions/>
  <pageMargins left="0.75" right="0.75" top="1" bottom="1" header="0.5" footer="0.5"/>
  <pageSetup horizontalDpi="300" verticalDpi="300" orientation="portrait" r:id="rId1"/>
</worksheet>
</file>

<file path=xl/worksheets/sheet53.xml><?xml version="1.0" encoding="utf-8"?>
<worksheet xmlns="http://schemas.openxmlformats.org/spreadsheetml/2006/main" xmlns:r="http://schemas.openxmlformats.org/officeDocument/2006/relationships">
  <sheetPr codeName="Sheet66"/>
  <dimension ref="A1:K12"/>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78.75" customHeight="1">
      <c r="A2" s="9" t="s">
        <v>33</v>
      </c>
      <c r="B2" s="9"/>
      <c r="C2" s="129" t="s">
        <v>491</v>
      </c>
      <c r="D2" s="140"/>
      <c r="E2" s="141"/>
      <c r="F2" s="35"/>
      <c r="G2" s="33" t="s">
        <v>36</v>
      </c>
      <c r="I2" s="82"/>
      <c r="J2" s="53"/>
    </row>
    <row r="3" spans="1:10" ht="15.75" customHeight="1">
      <c r="A3" s="9"/>
      <c r="B3" s="9"/>
      <c r="C3" s="129" t="s">
        <v>493</v>
      </c>
      <c r="D3" s="153"/>
      <c r="E3" s="154"/>
      <c r="F3" s="35"/>
      <c r="G3" s="33" t="s">
        <v>43</v>
      </c>
      <c r="I3" s="82"/>
      <c r="J3" s="53"/>
    </row>
    <row r="4" spans="1:10" ht="15.75">
      <c r="A4" s="9"/>
      <c r="B4" s="9"/>
      <c r="C4" s="9"/>
      <c r="E4" s="10" t="str">
        <f>IF('26'!E7="Dodge:","Dodge Roll:",IF('26'!E7="Block:","Block Roll:",IF('26'!E7="Parry:","Parry Roll:","Active Defense Roll:")))</f>
        <v>Active Defense Roll:</v>
      </c>
      <c r="G4" s="72">
        <f>IF('26'!G11=0,"",'26'!G11)</f>
      </c>
      <c r="I4" s="10" t="str">
        <f>'25'!I4</f>
        <v>Effective Active Defense:</v>
      </c>
      <c r="J4" s="72">
        <f>'25'!J4</f>
      </c>
    </row>
    <row r="5" spans="3:10" ht="15.75">
      <c r="C5" s="16"/>
      <c r="D5" s="16"/>
      <c r="E5" s="10" t="s">
        <v>404</v>
      </c>
      <c r="G5" s="89">
        <f>'30'!G4</f>
      </c>
      <c r="I5" s="32">
        <f>IF('29'!G6="choose","",'29'!G6)</f>
      </c>
      <c r="J5" s="85"/>
    </row>
    <row r="6" spans="3:7" ht="15.75">
      <c r="C6" s="41"/>
      <c r="D6" s="16"/>
      <c r="E6" s="10" t="s">
        <v>415</v>
      </c>
      <c r="G6" s="90">
        <f>'30'!G19</f>
        <v>0</v>
      </c>
    </row>
    <row r="7" spans="3:7" ht="15.75">
      <c r="C7" s="41"/>
      <c r="D7" s="16"/>
      <c r="E7" s="16"/>
      <c r="G7" s="41"/>
    </row>
    <row r="8" spans="3:9" ht="15.75">
      <c r="C8" s="16"/>
      <c r="D8" s="16"/>
      <c r="E8" s="10" t="s">
        <v>445</v>
      </c>
      <c r="G8" s="98" t="str">
        <f>'35'!G8</f>
        <v>choose</v>
      </c>
      <c r="I8" s="99"/>
    </row>
    <row r="9" spans="3:9" ht="15.75">
      <c r="C9" s="41"/>
      <c r="D9" s="41"/>
      <c r="E9" s="10" t="s">
        <v>438</v>
      </c>
      <c r="G9" s="77">
        <f>'35'!G9</f>
      </c>
      <c r="I9" s="100">
        <f>'36'!I9</f>
      </c>
    </row>
    <row r="10" spans="5:7" ht="15.75">
      <c r="E10" s="10" t="s">
        <v>444</v>
      </c>
      <c r="G10" s="98">
        <f>'35'!G10</f>
      </c>
    </row>
    <row r="12" spans="5:9" ht="15.75">
      <c r="E12" s="10" t="s">
        <v>448</v>
      </c>
      <c r="G12" s="47">
        <f>'36'!G12</f>
      </c>
      <c r="I12" s="41">
        <f>IF(AND(ISNUMBER(G9),G9&gt;4),4,G9)</f>
      </c>
    </row>
  </sheetData>
  <mergeCells count="2">
    <mergeCell ref="C2:E2"/>
    <mergeCell ref="C3:E3"/>
  </mergeCells>
  <hyperlinks>
    <hyperlink ref="G2" location="'53'!A1" display="[53]"/>
    <hyperlink ref="G3" location="'1'!A1" display="[1]"/>
  </hyperlinks>
  <printOptions/>
  <pageMargins left="0.75" right="0.75" top="1" bottom="1" header="0.5" footer="0.5"/>
  <pageSetup horizontalDpi="300" verticalDpi="300" orientation="portrait" r:id="rId1"/>
</worksheet>
</file>

<file path=xl/worksheets/sheet54.xml><?xml version="1.0" encoding="utf-8"?>
<worksheet xmlns="http://schemas.openxmlformats.org/spreadsheetml/2006/main" xmlns:r="http://schemas.openxmlformats.org/officeDocument/2006/relationships">
  <sheetPr codeName="Sheet67"/>
  <dimension ref="A1:K13"/>
  <sheetViews>
    <sheetView workbookViewId="0" topLeftCell="A1">
      <selection activeCell="A1" sqref="A1"/>
    </sheetView>
  </sheetViews>
  <sheetFormatPr defaultColWidth="8.796875" defaultRowHeight="15"/>
  <cols>
    <col min="1" max="1" width="5.19921875" style="7" customWidth="1"/>
    <col min="2" max="2" width="0.8984375" style="76" customWidth="1"/>
    <col min="3" max="5" width="15.19921875" style="7" customWidth="1"/>
    <col min="6" max="6" width="0.8984375" style="7" customWidth="1"/>
    <col min="7" max="7" width="7.69921875" style="16" customWidth="1"/>
    <col min="8" max="8" width="0.8984375" style="7" customWidth="1"/>
    <col min="9" max="9" width="15.5" style="7" customWidth="1"/>
    <col min="10" max="11" width="7.69921875" style="7" customWidth="1"/>
  </cols>
  <sheetData>
    <row r="1" spans="5:11" ht="16.5" thickBot="1">
      <c r="E1" s="10" t="s">
        <v>309</v>
      </c>
      <c r="G1" s="19">
        <f>'21'!G9</f>
        <v>0</v>
      </c>
      <c r="I1" s="4" t="s">
        <v>72</v>
      </c>
      <c r="J1" s="19">
        <f>'21'!J1</f>
        <v>0</v>
      </c>
      <c r="K1" s="2" t="str">
        <f>'24'!K1</f>
        <v>Torso</v>
      </c>
    </row>
    <row r="2" spans="1:10" ht="125.25" customHeight="1">
      <c r="A2" s="9" t="s">
        <v>36</v>
      </c>
      <c r="B2" s="9"/>
      <c r="C2" s="129" t="s">
        <v>494</v>
      </c>
      <c r="D2" s="140"/>
      <c r="E2" s="141"/>
      <c r="F2" s="35"/>
      <c r="G2" s="33" t="s">
        <v>43</v>
      </c>
      <c r="I2" s="82"/>
      <c r="J2" s="53"/>
    </row>
    <row r="3" spans="1:10" ht="15.75">
      <c r="A3" s="9"/>
      <c r="B3" s="9"/>
      <c r="C3" s="9"/>
      <c r="E3" s="10" t="str">
        <f>IF('26'!E7="Dodge:","Dodge Roll:",IF('26'!E7="Block:","Block Roll:",IF('26'!E7="Parry:","Parry Roll:","Active Defense Roll:")))</f>
        <v>Active Defense Roll:</v>
      </c>
      <c r="G3" s="72">
        <f>IF('26'!G11=0,"",'26'!G11)</f>
      </c>
      <c r="I3" s="10" t="str">
        <f>'25'!I4</f>
        <v>Effective Active Defense:</v>
      </c>
      <c r="J3" s="72">
        <f>'25'!J4</f>
      </c>
    </row>
    <row r="4" spans="3:10" ht="15.75">
      <c r="C4" s="16"/>
      <c r="D4" s="16"/>
      <c r="E4" s="10" t="s">
        <v>404</v>
      </c>
      <c r="G4" s="89">
        <f>'30'!G4</f>
      </c>
      <c r="I4" s="32">
        <f>IF('29'!G6="choose","",'29'!G6)</f>
      </c>
      <c r="J4" s="85"/>
    </row>
    <row r="5" spans="3:7" ht="15.75">
      <c r="C5" s="41"/>
      <c r="D5" s="16"/>
      <c r="E5" s="10" t="s">
        <v>415</v>
      </c>
      <c r="G5" s="90">
        <f>'30'!G19</f>
        <v>0</v>
      </c>
    </row>
    <row r="6" spans="3:7" ht="15.75">
      <c r="C6" s="41"/>
      <c r="D6" s="16"/>
      <c r="E6" s="16"/>
      <c r="G6" s="41"/>
    </row>
    <row r="7" spans="3:9" ht="15.75">
      <c r="C7" s="16"/>
      <c r="D7" s="16"/>
      <c r="E7" s="10" t="s">
        <v>445</v>
      </c>
      <c r="G7" s="98" t="str">
        <f>'35'!G8</f>
        <v>choose</v>
      </c>
      <c r="I7" s="99"/>
    </row>
    <row r="8" spans="3:9" ht="15.75">
      <c r="C8" s="41"/>
      <c r="D8" s="41"/>
      <c r="E8" s="10" t="s">
        <v>438</v>
      </c>
      <c r="G8" s="77">
        <f>'35'!G9</f>
      </c>
      <c r="I8" s="100">
        <f>'36'!I9</f>
      </c>
    </row>
    <row r="9" spans="5:7" ht="15.75">
      <c r="E9" s="10" t="s">
        <v>444</v>
      </c>
      <c r="G9" s="98">
        <f>'35'!G10</f>
      </c>
    </row>
    <row r="11" spans="5:9" ht="15.75">
      <c r="E11" s="10" t="s">
        <v>448</v>
      </c>
      <c r="G11" s="47">
        <f>'36'!G12</f>
      </c>
      <c r="I11" s="41">
        <f>IF(AND(ISNUMBER(G8),G8&gt;4),4,G8)</f>
      </c>
    </row>
    <row r="13" spans="5:9" ht="15.75">
      <c r="E13" s="10" t="s">
        <v>485</v>
      </c>
      <c r="G13" s="113">
        <f>IF(ISNUMBER('21'!E14),'21'!E14,0)</f>
        <v>0</v>
      </c>
      <c r="I13" s="99">
        <f>IF(AND(ISNUMBER(G13),G13&gt;0),"t","")</f>
      </c>
    </row>
  </sheetData>
  <mergeCells count="1">
    <mergeCell ref="C2:E2"/>
  </mergeCells>
  <hyperlinks>
    <hyperlink ref="G2" location="'1'!A1" display="[1]"/>
  </hyperlink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8"/>
  <dimension ref="A1:L24"/>
  <sheetViews>
    <sheetView workbookViewId="0" topLeftCell="A1">
      <selection activeCell="A1" sqref="A1"/>
    </sheetView>
  </sheetViews>
  <sheetFormatPr defaultColWidth="8.796875" defaultRowHeight="15"/>
  <cols>
    <col min="1" max="1" width="5.19921875" style="0" customWidth="1"/>
    <col min="2" max="2" width="0.8984375" style="0" customWidth="1"/>
    <col min="3" max="4" width="15.19921875" style="0" customWidth="1"/>
    <col min="5" max="5" width="15.19921875" style="26" customWidth="1"/>
    <col min="6" max="6" width="0.8984375" style="0" customWidth="1"/>
    <col min="7" max="7" width="7.69921875" style="0" customWidth="1"/>
    <col min="8" max="8" width="0.8984375" style="0" customWidth="1"/>
    <col min="9" max="9" width="15.5" style="21" customWidth="1"/>
    <col min="10" max="10" width="7.69921875" style="0" customWidth="1"/>
    <col min="11" max="11" width="7.69921875" style="26" customWidth="1"/>
  </cols>
  <sheetData>
    <row r="1" spans="1:12" ht="16.5" thickBot="1">
      <c r="A1" s="7"/>
      <c r="B1" s="7"/>
      <c r="C1" s="7"/>
      <c r="D1" s="7"/>
      <c r="E1" s="16"/>
      <c r="F1" s="7"/>
      <c r="G1" s="7"/>
      <c r="H1" s="7"/>
      <c r="I1" s="4" t="s">
        <v>72</v>
      </c>
      <c r="J1" s="19">
        <f>4!H1+C11</f>
        <v>0</v>
      </c>
      <c r="K1" s="2" t="str">
        <f>IF(C12&lt;&gt;"-",C12,"Torso")</f>
        <v>Torso</v>
      </c>
      <c r="L1" s="7"/>
    </row>
    <row r="2" spans="1:12" ht="15.75">
      <c r="A2" s="9" t="s">
        <v>74</v>
      </c>
      <c r="B2" s="9"/>
      <c r="C2" s="132" t="s">
        <v>293</v>
      </c>
      <c r="D2" s="133"/>
      <c r="E2" s="134"/>
      <c r="F2" s="7"/>
      <c r="G2" s="127" t="s">
        <v>73</v>
      </c>
      <c r="H2" s="7"/>
      <c r="I2" s="22"/>
      <c r="J2" s="22"/>
      <c r="K2" s="16"/>
      <c r="L2" s="7"/>
    </row>
    <row r="3" spans="1:12" ht="31.5" customHeight="1">
      <c r="A3" s="9"/>
      <c r="B3" s="9"/>
      <c r="C3" s="135"/>
      <c r="D3" s="136"/>
      <c r="E3" s="137"/>
      <c r="F3" s="7"/>
      <c r="G3" s="128"/>
      <c r="H3" s="7"/>
      <c r="I3" s="22"/>
      <c r="J3" s="22"/>
      <c r="K3" s="16"/>
      <c r="L3" s="7"/>
    </row>
    <row r="4" spans="1:12" ht="15.75">
      <c r="A4" s="9"/>
      <c r="B4" s="9"/>
      <c r="C4" s="9"/>
      <c r="D4" s="7"/>
      <c r="E4" s="16"/>
      <c r="F4" s="7"/>
      <c r="G4" s="49"/>
      <c r="H4" s="7"/>
      <c r="I4" s="7"/>
      <c r="J4" s="7"/>
      <c r="K4" s="16"/>
      <c r="L4" s="7"/>
    </row>
    <row r="5" spans="1:12" ht="15.75">
      <c r="A5" s="7"/>
      <c r="B5" s="7"/>
      <c r="C5" s="7"/>
      <c r="D5" s="40" t="s">
        <v>81</v>
      </c>
      <c r="E5" s="38" t="s">
        <v>83</v>
      </c>
      <c r="F5" s="7"/>
      <c r="H5" s="7"/>
      <c r="I5" s="7"/>
      <c r="J5" s="7"/>
      <c r="K5" s="16"/>
      <c r="L5" s="7"/>
    </row>
    <row r="6" spans="1:12" ht="15.75">
      <c r="A6" s="7"/>
      <c r="B6" s="7"/>
      <c r="C6" s="27" t="s">
        <v>211</v>
      </c>
      <c r="D6" s="10" t="s">
        <v>75</v>
      </c>
      <c r="E6" s="16">
        <v>-9</v>
      </c>
      <c r="F6" s="7"/>
      <c r="G6" s="47">
        <f aca="true" t="shared" si="0" ref="G6:G18">IF(I6=TRUE,E6,"")</f>
      </c>
      <c r="H6" s="7"/>
      <c r="I6" s="34" t="b">
        <v>0</v>
      </c>
      <c r="J6" s="7"/>
      <c r="K6" s="16"/>
      <c r="L6" s="7"/>
    </row>
    <row r="7" spans="1:12" ht="15.75">
      <c r="A7" s="7"/>
      <c r="B7" s="7"/>
      <c r="C7" s="7"/>
      <c r="D7" s="24" t="s">
        <v>51</v>
      </c>
      <c r="E7" s="16">
        <v>-7</v>
      </c>
      <c r="F7" s="7"/>
      <c r="G7" s="47">
        <f t="shared" si="0"/>
      </c>
      <c r="H7" s="7"/>
      <c r="I7" s="34" t="b">
        <v>0</v>
      </c>
      <c r="J7" s="7"/>
      <c r="K7" s="16"/>
      <c r="L7" s="7"/>
    </row>
    <row r="8" spans="1:12" ht="15.75">
      <c r="A8" s="7"/>
      <c r="B8" s="7"/>
      <c r="C8" s="34">
        <f>IF(I6=TRUE,"Eye",IF(I7=TRUE,"Skull",IF(I8=TRUE,"Face",IF(I9=TRUE,"Right Leg",IF(I10=TRUE,"Right Arm",IF(I11=TRUE,"Torso",0))))))</f>
        <v>0</v>
      </c>
      <c r="D8" s="24" t="s">
        <v>53</v>
      </c>
      <c r="E8" s="16">
        <v>-5</v>
      </c>
      <c r="F8" s="7"/>
      <c r="G8" s="47">
        <f t="shared" si="0"/>
      </c>
      <c r="H8" s="7"/>
      <c r="I8" s="34" t="b">
        <v>0</v>
      </c>
      <c r="J8" s="7"/>
      <c r="K8" s="16"/>
      <c r="L8" s="7"/>
    </row>
    <row r="9" spans="1:12" ht="15.75">
      <c r="A9" s="7"/>
      <c r="B9" s="7"/>
      <c r="C9" s="34">
        <f>IF(I12=TRUE,"Groin",IF(I13=TRUE,"Left Arm",IF(I14=TRUE,"Left Leg",IF(I15=TRUE,"Hand",IF(I16=TRUE,"Foot",0)))))</f>
        <v>0</v>
      </c>
      <c r="D9" s="24" t="s">
        <v>55</v>
      </c>
      <c r="E9" s="16">
        <v>-2</v>
      </c>
      <c r="F9" s="7"/>
      <c r="G9" s="47">
        <f t="shared" si="0"/>
      </c>
      <c r="H9" s="7"/>
      <c r="I9" s="34" t="b">
        <v>0</v>
      </c>
      <c r="J9" s="7"/>
      <c r="K9" s="16"/>
      <c r="L9" s="7"/>
    </row>
    <row r="10" spans="1:12" ht="15.75">
      <c r="A10" s="7"/>
      <c r="B10" s="7"/>
      <c r="C10" s="34">
        <f>IF(I17=TRUE,"Neck",IF(I18=TRUE,"Vitals",IF(I20=TRUE,"S Weapon",IF(I21=TRUE,"M Weapon",IF(I22=TRUE,"L Weapon",0)))))</f>
        <v>0</v>
      </c>
      <c r="D10" s="24" t="s">
        <v>50</v>
      </c>
      <c r="E10" s="16">
        <v>-2</v>
      </c>
      <c r="F10" s="7"/>
      <c r="G10" s="47">
        <f t="shared" si="0"/>
      </c>
      <c r="H10" s="7"/>
      <c r="I10" s="34" t="b">
        <v>0</v>
      </c>
      <c r="J10" s="7"/>
      <c r="K10" s="16"/>
      <c r="L10" s="7"/>
    </row>
    <row r="11" spans="1:12" ht="15.75">
      <c r="A11" s="7"/>
      <c r="B11" s="7"/>
      <c r="C11" s="34">
        <f>SUM(G6:G23)</f>
        <v>0</v>
      </c>
      <c r="D11" s="24" t="s">
        <v>59</v>
      </c>
      <c r="E11" s="16">
        <v>0</v>
      </c>
      <c r="F11" s="7"/>
      <c r="G11" s="47">
        <f t="shared" si="0"/>
      </c>
      <c r="H11" s="7"/>
      <c r="I11" s="34" t="b">
        <v>0</v>
      </c>
      <c r="J11" s="7"/>
      <c r="K11" s="16"/>
      <c r="L11" s="7"/>
    </row>
    <row r="12" spans="1:12" ht="15.75">
      <c r="A12" s="7"/>
      <c r="B12" s="7"/>
      <c r="C12" s="34" t="str">
        <f>IF(C8&lt;&gt;0,C8,IF(C9&lt;&gt;0,C9,IF(C10&lt;&gt;0,C10,"-")))</f>
        <v>-</v>
      </c>
      <c r="D12" s="24" t="s">
        <v>61</v>
      </c>
      <c r="E12" s="16">
        <v>-3</v>
      </c>
      <c r="F12" s="7"/>
      <c r="G12" s="47">
        <f t="shared" si="0"/>
      </c>
      <c r="H12" s="7"/>
      <c r="I12" s="34" t="b">
        <v>0</v>
      </c>
      <c r="J12" s="7"/>
      <c r="K12" s="16"/>
      <c r="L12" s="7"/>
    </row>
    <row r="13" spans="1:12" ht="15.75">
      <c r="A13" s="7"/>
      <c r="B13" s="7"/>
      <c r="C13" s="7"/>
      <c r="D13" s="24" t="s">
        <v>63</v>
      </c>
      <c r="E13" s="16">
        <v>-2</v>
      </c>
      <c r="F13" s="7"/>
      <c r="G13" s="47">
        <f t="shared" si="0"/>
      </c>
      <c r="H13" s="7"/>
      <c r="I13" s="34" t="b">
        <v>0</v>
      </c>
      <c r="J13" s="7"/>
      <c r="K13" s="16"/>
      <c r="L13" s="7"/>
    </row>
    <row r="14" spans="1:12" ht="15.75">
      <c r="A14" s="7"/>
      <c r="B14" s="7"/>
      <c r="C14" s="7"/>
      <c r="D14" s="24" t="s">
        <v>65</v>
      </c>
      <c r="E14" s="16">
        <v>-2</v>
      </c>
      <c r="F14" s="7"/>
      <c r="G14" s="47">
        <f t="shared" si="0"/>
      </c>
      <c r="H14" s="7"/>
      <c r="I14" s="34" t="b">
        <v>0</v>
      </c>
      <c r="J14" s="7"/>
      <c r="K14" s="16"/>
      <c r="L14" s="7"/>
    </row>
    <row r="15" spans="1:12" ht="15.75">
      <c r="A15" s="7"/>
      <c r="B15" s="7"/>
      <c r="C15" s="7"/>
      <c r="D15" s="24" t="s">
        <v>67</v>
      </c>
      <c r="E15" s="16">
        <v>-4</v>
      </c>
      <c r="F15" s="7"/>
      <c r="G15" s="47">
        <f t="shared" si="0"/>
      </c>
      <c r="H15" s="7"/>
      <c r="I15" s="34" t="b">
        <v>0</v>
      </c>
      <c r="J15" s="7"/>
      <c r="K15" s="16"/>
      <c r="L15" s="7"/>
    </row>
    <row r="16" spans="1:12" ht="15.75">
      <c r="A16" s="7"/>
      <c r="B16" s="7"/>
      <c r="C16" s="7"/>
      <c r="D16" s="24" t="s">
        <v>69</v>
      </c>
      <c r="E16" s="16">
        <v>-4</v>
      </c>
      <c r="F16" s="7"/>
      <c r="G16" s="47">
        <f t="shared" si="0"/>
      </c>
      <c r="H16" s="7"/>
      <c r="I16" s="34" t="b">
        <v>0</v>
      </c>
      <c r="J16" s="7"/>
      <c r="K16" s="16"/>
      <c r="L16" s="7"/>
    </row>
    <row r="17" spans="1:12" ht="15.75">
      <c r="A17" s="7"/>
      <c r="B17" s="7"/>
      <c r="C17" s="7"/>
      <c r="D17" s="24" t="s">
        <v>71</v>
      </c>
      <c r="E17" s="16">
        <v>-5</v>
      </c>
      <c r="F17" s="7"/>
      <c r="G17" s="47">
        <f t="shared" si="0"/>
      </c>
      <c r="H17" s="7"/>
      <c r="I17" s="34" t="b">
        <v>0</v>
      </c>
      <c r="J17" s="7"/>
      <c r="K17" s="16"/>
      <c r="L17" s="7"/>
    </row>
    <row r="18" spans="1:12" ht="15.75">
      <c r="A18" s="7"/>
      <c r="B18" s="7"/>
      <c r="C18" s="27" t="s">
        <v>211</v>
      </c>
      <c r="D18" s="25" t="s">
        <v>76</v>
      </c>
      <c r="E18" s="16">
        <v>-3</v>
      </c>
      <c r="F18" s="7"/>
      <c r="G18" s="47">
        <f t="shared" si="0"/>
      </c>
      <c r="H18" s="7"/>
      <c r="I18" s="34" t="b">
        <v>0</v>
      </c>
      <c r="J18" s="7"/>
      <c r="K18" s="16"/>
      <c r="L18" s="7"/>
    </row>
    <row r="19" spans="1:12" ht="6" customHeight="1">
      <c r="A19" s="7"/>
      <c r="B19" s="7"/>
      <c r="C19" s="27"/>
      <c r="D19" s="25"/>
      <c r="E19" s="16"/>
      <c r="F19" s="7"/>
      <c r="G19" s="16"/>
      <c r="H19" s="7"/>
      <c r="I19" s="34"/>
      <c r="J19" s="7"/>
      <c r="K19" s="16"/>
      <c r="L19" s="7"/>
    </row>
    <row r="20" spans="1:12" ht="15.75">
      <c r="A20" s="7"/>
      <c r="B20" s="7"/>
      <c r="C20" s="7"/>
      <c r="D20" s="10" t="s">
        <v>212</v>
      </c>
      <c r="E20" s="16">
        <v>-5</v>
      </c>
      <c r="F20" s="7"/>
      <c r="G20" s="47">
        <f>IF(I20=TRUE,E20,"")</f>
      </c>
      <c r="H20" s="7"/>
      <c r="I20" s="34" t="b">
        <v>0</v>
      </c>
      <c r="J20" s="7"/>
      <c r="K20" s="16"/>
      <c r="L20" s="7"/>
    </row>
    <row r="21" spans="1:12" ht="15.75">
      <c r="A21" s="7"/>
      <c r="B21" s="7"/>
      <c r="C21" s="7"/>
      <c r="D21" s="10" t="s">
        <v>213</v>
      </c>
      <c r="E21" s="16">
        <v>-4</v>
      </c>
      <c r="F21" s="7"/>
      <c r="G21" s="47">
        <f>IF(I21=TRUE,E21,"")</f>
      </c>
      <c r="H21" s="7"/>
      <c r="I21" s="34" t="b">
        <v>0</v>
      </c>
      <c r="J21" s="7"/>
      <c r="K21" s="16"/>
      <c r="L21" s="7"/>
    </row>
    <row r="22" spans="1:12" ht="15.75">
      <c r="A22" s="7"/>
      <c r="B22" s="7"/>
      <c r="C22" s="7"/>
      <c r="D22" s="10" t="s">
        <v>214</v>
      </c>
      <c r="E22" s="16">
        <v>-3</v>
      </c>
      <c r="F22" s="7"/>
      <c r="G22" s="47">
        <f>IF(I22=TRUE,E22,"")</f>
      </c>
      <c r="H22" s="7"/>
      <c r="I22" s="34" t="b">
        <v>0</v>
      </c>
      <c r="J22" s="7"/>
      <c r="K22" s="16"/>
      <c r="L22" s="7"/>
    </row>
    <row r="23" spans="1:12" ht="15.75">
      <c r="A23" s="7"/>
      <c r="B23" s="7"/>
      <c r="C23" s="7"/>
      <c r="D23" s="10" t="s">
        <v>247</v>
      </c>
      <c r="E23" s="16">
        <v>-2</v>
      </c>
      <c r="F23" s="7"/>
      <c r="G23" s="47">
        <f>IF(I23=TRUE,E23,"")</f>
      </c>
      <c r="H23" s="7"/>
      <c r="I23" s="34" t="b">
        <v>0</v>
      </c>
      <c r="J23" s="7"/>
      <c r="K23" s="16"/>
      <c r="L23" s="7"/>
    </row>
    <row r="24" spans="1:12" ht="15.75">
      <c r="A24" s="7"/>
      <c r="B24" s="7"/>
      <c r="C24" s="7"/>
      <c r="D24" s="7"/>
      <c r="E24" s="16"/>
      <c r="F24" s="7"/>
      <c r="G24" s="7"/>
      <c r="H24" s="7"/>
      <c r="I24" s="7"/>
      <c r="J24" s="7"/>
      <c r="K24" s="16"/>
      <c r="L24" s="7"/>
    </row>
  </sheetData>
  <mergeCells count="2">
    <mergeCell ref="C2:E3"/>
    <mergeCell ref="G2:G3"/>
  </mergeCells>
  <dataValidations count="1">
    <dataValidation allowBlank="1" showErrorMessage="1" promptTitle="Unmodified Weapon Skill" prompt="Select your Unmodified Weapon Skill from the range 0 to 35." sqref="D7:D17"/>
  </dataValidations>
  <hyperlinks>
    <hyperlink ref="G2" location="'6'!A1" display="[6]"/>
  </hyperlinks>
  <printOptions/>
  <pageMargins left="0.75" right="0.75" top="1" bottom="1" header="0.5" footer="0.5"/>
  <pageSetup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codeName="Sheet9"/>
  <dimension ref="A1:I6"/>
  <sheetViews>
    <sheetView workbookViewId="0" topLeftCell="A1">
      <selection activeCell="A1" sqref="A1"/>
    </sheetView>
  </sheetViews>
  <sheetFormatPr defaultColWidth="8.796875" defaultRowHeight="15"/>
  <cols>
    <col min="1" max="1" width="5.19921875" style="7" customWidth="1"/>
    <col min="2" max="2" width="0.8984375" style="7" customWidth="1"/>
    <col min="3" max="3" width="45.69921875" style="7" customWidth="1"/>
    <col min="4" max="4" width="0.8984375" style="7" customWidth="1"/>
    <col min="5" max="5" width="7.69921875" style="7" customWidth="1"/>
    <col min="6" max="6" width="0.8984375" style="7" customWidth="1"/>
    <col min="7" max="7" width="15.5" style="7" customWidth="1"/>
    <col min="8" max="9" width="7.69921875" style="7" customWidth="1"/>
  </cols>
  <sheetData>
    <row r="1" spans="7:9" ht="16.5" thickBot="1">
      <c r="G1" s="4" t="s">
        <v>72</v>
      </c>
      <c r="H1" s="19">
        <f>IF(5!C11&lt;&gt;0,5!J1,4!H1)</f>
        <v>0</v>
      </c>
      <c r="I1" s="2" t="str">
        <f>IF(5!K1&lt;&gt;"Torso",5!K1,3!K1)</f>
        <v>Torso</v>
      </c>
    </row>
    <row r="2" spans="1:8" ht="31.5">
      <c r="A2" s="9" t="s">
        <v>73</v>
      </c>
      <c r="C2" s="156" t="s">
        <v>500</v>
      </c>
      <c r="E2" s="33" t="s">
        <v>78</v>
      </c>
      <c r="G2" s="123">
        <f>IF(G5=TRUE,"t","")</f>
      </c>
      <c r="H2" s="22"/>
    </row>
    <row r="3" spans="1:8" ht="15.75">
      <c r="A3" s="9"/>
      <c r="C3" s="5" t="s">
        <v>10</v>
      </c>
      <c r="E3" s="33" t="s">
        <v>237</v>
      </c>
      <c r="G3" s="123">
        <f>IF(G6=TRUE,"t","")</f>
      </c>
      <c r="H3" s="22"/>
    </row>
    <row r="4" spans="1:7" ht="15.75">
      <c r="A4" s="9"/>
      <c r="C4" s="1"/>
      <c r="E4" s="8"/>
      <c r="G4" s="60"/>
    </row>
    <row r="5" spans="1:7" ht="15.75">
      <c r="A5" s="9"/>
      <c r="C5" s="4" t="s">
        <v>8</v>
      </c>
      <c r="E5" s="12"/>
      <c r="G5" s="34" t="b">
        <v>0</v>
      </c>
    </row>
    <row r="6" spans="3:7" ht="15.75">
      <c r="C6" s="10" t="s">
        <v>9</v>
      </c>
      <c r="G6" s="34" t="b">
        <v>0</v>
      </c>
    </row>
  </sheetData>
  <dataValidations count="1">
    <dataValidation allowBlank="1" showErrorMessage="1" promptTitle="Unmodified Weapon Skill" prompt="Select your Unmodified Weapon Skill from the range 0 to 35." sqref="E5"/>
  </dataValidations>
  <hyperlinks>
    <hyperlink ref="E2" location="'7'!A1" display="[7]"/>
    <hyperlink ref="E3" location="'16'!A1" display="[16]"/>
  </hyperlinks>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sheetPr codeName="Sheet10"/>
  <dimension ref="A1:K53"/>
  <sheetViews>
    <sheetView workbookViewId="0" topLeftCell="A1">
      <pane ySplit="5" topLeftCell="BM6" activePane="bottomLeft" state="frozen"/>
      <selection pane="topLeft" activeCell="A1" sqref="A1"/>
      <selection pane="bottomLeft"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7" customWidth="1"/>
    <col min="8" max="8" width="0.8984375" style="7" customWidth="1"/>
    <col min="9" max="9" width="15.5" style="7" customWidth="1"/>
    <col min="10" max="11" width="7.69921875" style="7" customWidth="1"/>
  </cols>
  <sheetData>
    <row r="1" spans="9:11" ht="16.5" thickBot="1">
      <c r="I1" s="4" t="s">
        <v>72</v>
      </c>
      <c r="J1" s="19">
        <f>6!H1+I4</f>
        <v>0</v>
      </c>
      <c r="K1" s="2" t="str">
        <f>6!I1</f>
        <v>Torso</v>
      </c>
    </row>
    <row r="2" spans="1:10" ht="15.75">
      <c r="A2" s="9" t="s">
        <v>78</v>
      </c>
      <c r="C2" s="129" t="s">
        <v>294</v>
      </c>
      <c r="D2" s="130"/>
      <c r="E2" s="131"/>
      <c r="G2" s="33" t="s">
        <v>80</v>
      </c>
      <c r="I2" s="22"/>
      <c r="J2" s="22"/>
    </row>
    <row r="3" spans="1:9" ht="15.75">
      <c r="A3" s="9"/>
      <c r="E3" s="1"/>
      <c r="G3" s="8"/>
      <c r="I3" s="2"/>
    </row>
    <row r="4" spans="1:9" ht="15.75">
      <c r="A4" s="9"/>
      <c r="E4" s="4" t="s">
        <v>79</v>
      </c>
      <c r="G4" s="6" t="s">
        <v>56</v>
      </c>
      <c r="I4" s="34">
        <f>IF(G4="choose",0,G4)</f>
        <v>0</v>
      </c>
    </row>
    <row r="6" spans="4:5" ht="15.75">
      <c r="D6" s="38" t="s">
        <v>156</v>
      </c>
      <c r="E6" s="38" t="s">
        <v>157</v>
      </c>
    </row>
    <row r="7" spans="4:11" ht="15.75">
      <c r="D7" s="37">
        <v>-15</v>
      </c>
      <c r="E7" s="37" t="s">
        <v>158</v>
      </c>
      <c r="I7" s="138" t="s">
        <v>205</v>
      </c>
      <c r="J7" s="139"/>
      <c r="K7" s="139"/>
    </row>
    <row r="8" spans="4:11" ht="15.75">
      <c r="D8" s="37">
        <v>-14</v>
      </c>
      <c r="E8" s="37" t="s">
        <v>160</v>
      </c>
      <c r="I8" s="139"/>
      <c r="J8" s="139"/>
      <c r="K8" s="139"/>
    </row>
    <row r="9" spans="4:11" ht="15.75">
      <c r="D9" s="16">
        <v>-13</v>
      </c>
      <c r="E9" s="16" t="s">
        <v>161</v>
      </c>
      <c r="I9" s="139"/>
      <c r="J9" s="139"/>
      <c r="K9" s="139"/>
    </row>
    <row r="10" spans="4:11" ht="15.75">
      <c r="D10" s="16">
        <v>-12</v>
      </c>
      <c r="E10" s="16" t="s">
        <v>162</v>
      </c>
      <c r="I10" s="139"/>
      <c r="J10" s="139"/>
      <c r="K10" s="139"/>
    </row>
    <row r="11" spans="4:11" ht="15.75">
      <c r="D11" s="37">
        <v>-11</v>
      </c>
      <c r="E11" s="37" t="s">
        <v>163</v>
      </c>
      <c r="I11" s="139"/>
      <c r="J11" s="139"/>
      <c r="K11" s="139"/>
    </row>
    <row r="12" spans="4:5" ht="15.75">
      <c r="D12" s="37">
        <v>-10</v>
      </c>
      <c r="E12" s="37" t="s">
        <v>164</v>
      </c>
    </row>
    <row r="13" spans="4:5" ht="15.75">
      <c r="D13" s="16">
        <v>-9</v>
      </c>
      <c r="E13" s="16" t="s">
        <v>165</v>
      </c>
    </row>
    <row r="14" spans="4:5" ht="15.75">
      <c r="D14" s="16">
        <v>-8</v>
      </c>
      <c r="E14" s="16" t="s">
        <v>166</v>
      </c>
    </row>
    <row r="15" spans="4:5" ht="15.75">
      <c r="D15" s="16">
        <v>-7</v>
      </c>
      <c r="E15" s="16" t="s">
        <v>167</v>
      </c>
    </row>
    <row r="16" spans="4:5" ht="15.75">
      <c r="D16" s="16">
        <v>-6</v>
      </c>
      <c r="E16" s="16" t="s">
        <v>168</v>
      </c>
    </row>
    <row r="17" spans="4:5" ht="15.75">
      <c r="D17" s="16">
        <v>-5</v>
      </c>
      <c r="E17" s="16" t="s">
        <v>169</v>
      </c>
    </row>
    <row r="18" spans="4:5" ht="15.75">
      <c r="D18" s="16">
        <v>-4</v>
      </c>
      <c r="E18" s="16" t="s">
        <v>170</v>
      </c>
    </row>
    <row r="19" spans="4:5" ht="15.75">
      <c r="D19" s="16">
        <v>-3</v>
      </c>
      <c r="E19" s="16" t="s">
        <v>171</v>
      </c>
    </row>
    <row r="20" spans="4:5" ht="15.75">
      <c r="D20" s="16">
        <v>-2</v>
      </c>
      <c r="E20" s="16" t="s">
        <v>172</v>
      </c>
    </row>
    <row r="21" spans="4:5" ht="15.75">
      <c r="D21" s="16">
        <v>-1</v>
      </c>
      <c r="E21" s="16" t="s">
        <v>173</v>
      </c>
    </row>
    <row r="22" spans="4:5" ht="15.75">
      <c r="D22" s="16">
        <v>0</v>
      </c>
      <c r="E22" s="16" t="s">
        <v>174</v>
      </c>
    </row>
    <row r="23" spans="4:5" ht="15.75">
      <c r="D23" s="16">
        <v>1</v>
      </c>
      <c r="E23" s="16" t="s">
        <v>175</v>
      </c>
    </row>
    <row r="24" spans="4:5" ht="15.75">
      <c r="D24" s="16">
        <v>2</v>
      </c>
      <c r="E24" s="16" t="s">
        <v>176</v>
      </c>
    </row>
    <row r="25" spans="4:5" ht="15.75">
      <c r="D25" s="16">
        <v>3</v>
      </c>
      <c r="E25" s="16" t="s">
        <v>177</v>
      </c>
    </row>
    <row r="26" spans="4:5" ht="15.75">
      <c r="D26" s="16">
        <v>4</v>
      </c>
      <c r="E26" s="16" t="s">
        <v>178</v>
      </c>
    </row>
    <row r="27" spans="4:5" ht="15.75">
      <c r="D27" s="16">
        <v>5</v>
      </c>
      <c r="E27" s="16" t="s">
        <v>179</v>
      </c>
    </row>
    <row r="28" spans="4:5" ht="15.75">
      <c r="D28" s="16">
        <v>6</v>
      </c>
      <c r="E28" s="16" t="s">
        <v>180</v>
      </c>
    </row>
    <row r="29" spans="4:5" ht="15.75">
      <c r="D29" s="16">
        <v>7</v>
      </c>
      <c r="E29" s="16" t="s">
        <v>181</v>
      </c>
    </row>
    <row r="30" spans="4:5" ht="15.75">
      <c r="D30" s="16">
        <v>8</v>
      </c>
      <c r="E30" s="16" t="s">
        <v>182</v>
      </c>
    </row>
    <row r="31" spans="4:5" ht="15.75">
      <c r="D31" s="16">
        <v>9</v>
      </c>
      <c r="E31" s="16" t="s">
        <v>183</v>
      </c>
    </row>
    <row r="32" spans="4:5" ht="15.75">
      <c r="D32" s="16">
        <v>10</v>
      </c>
      <c r="E32" s="16" t="s">
        <v>184</v>
      </c>
    </row>
    <row r="33" spans="4:5" ht="15.75">
      <c r="D33" s="16">
        <v>11</v>
      </c>
      <c r="E33" s="16" t="s">
        <v>185</v>
      </c>
    </row>
    <row r="34" spans="4:5" ht="15.75">
      <c r="D34" s="16">
        <v>12</v>
      </c>
      <c r="E34" s="16" t="s">
        <v>186</v>
      </c>
    </row>
    <row r="35" spans="4:5" ht="15.75">
      <c r="D35" s="16">
        <v>13</v>
      </c>
      <c r="E35" s="16" t="s">
        <v>187</v>
      </c>
    </row>
    <row r="36" spans="4:5" ht="15.75">
      <c r="D36" s="16">
        <v>14</v>
      </c>
      <c r="E36" s="16" t="s">
        <v>188</v>
      </c>
    </row>
    <row r="37" spans="4:5" ht="15.75">
      <c r="D37" s="16">
        <v>15</v>
      </c>
      <c r="E37" s="16" t="s">
        <v>189</v>
      </c>
    </row>
    <row r="38" spans="4:5" ht="15.75">
      <c r="D38" s="16">
        <v>16</v>
      </c>
      <c r="E38" s="16" t="s">
        <v>190</v>
      </c>
    </row>
    <row r="39" spans="4:5" ht="15.75">
      <c r="D39" s="16">
        <v>17</v>
      </c>
      <c r="E39" s="16" t="s">
        <v>191</v>
      </c>
    </row>
    <row r="40" spans="4:5" ht="15.75">
      <c r="D40" s="16">
        <v>18</v>
      </c>
      <c r="E40" s="16" t="s">
        <v>192</v>
      </c>
    </row>
    <row r="41" spans="4:5" ht="15.75">
      <c r="D41" s="16">
        <v>19</v>
      </c>
      <c r="E41" s="16" t="s">
        <v>193</v>
      </c>
    </row>
    <row r="42" spans="4:5" ht="15.75">
      <c r="D42" s="16">
        <v>20</v>
      </c>
      <c r="E42" s="16" t="s">
        <v>194</v>
      </c>
    </row>
    <row r="43" spans="4:5" ht="15.75">
      <c r="D43" s="16">
        <v>21</v>
      </c>
      <c r="E43" s="16" t="s">
        <v>195</v>
      </c>
    </row>
    <row r="44" spans="4:5" ht="15.75">
      <c r="D44" s="16">
        <v>22</v>
      </c>
      <c r="E44" s="16" t="s">
        <v>196</v>
      </c>
    </row>
    <row r="45" spans="4:5" ht="15.75">
      <c r="D45" s="16">
        <v>23</v>
      </c>
      <c r="E45" s="16" t="s">
        <v>197</v>
      </c>
    </row>
    <row r="46" spans="4:5" ht="15.75">
      <c r="D46" s="16">
        <v>24</v>
      </c>
      <c r="E46" s="16" t="s">
        <v>198</v>
      </c>
    </row>
    <row r="47" spans="4:5" ht="15.75">
      <c r="D47" s="16">
        <v>25</v>
      </c>
      <c r="E47" s="16" t="s">
        <v>199</v>
      </c>
    </row>
    <row r="48" spans="4:5" ht="15.75">
      <c r="D48" s="16">
        <v>26</v>
      </c>
      <c r="E48" s="16" t="s">
        <v>200</v>
      </c>
    </row>
    <row r="49" spans="4:5" ht="15.75">
      <c r="D49" s="16">
        <v>27</v>
      </c>
      <c r="E49" s="16" t="s">
        <v>201</v>
      </c>
    </row>
    <row r="50" spans="4:5" ht="15.75">
      <c r="D50" s="16">
        <v>28</v>
      </c>
      <c r="E50" s="16" t="s">
        <v>202</v>
      </c>
    </row>
    <row r="51" spans="4:5" ht="15.75">
      <c r="D51" s="16">
        <v>29</v>
      </c>
      <c r="E51" s="16" t="s">
        <v>203</v>
      </c>
    </row>
    <row r="52" spans="4:5" ht="15.75">
      <c r="D52" s="16">
        <v>30</v>
      </c>
      <c r="E52" s="16" t="s">
        <v>204</v>
      </c>
    </row>
    <row r="53" spans="4:5" ht="15.75">
      <c r="D53" s="16" t="s">
        <v>159</v>
      </c>
      <c r="E53" s="16" t="s">
        <v>159</v>
      </c>
    </row>
  </sheetData>
  <mergeCells count="2">
    <mergeCell ref="C2:E2"/>
    <mergeCell ref="I7:K11"/>
  </mergeCells>
  <dataValidations count="1">
    <dataValidation type="list" allowBlank="1" showErrorMessage="1" promptTitle="Unmodified Weapon Skill" prompt="Select your Unmodified Weapon Skill from the range 0 to 35." sqref="G4">
      <formula1>"choose,0,-15,-14,-13,-12,-11,-10,-9,-8,-7,-6,-5,-4,-3,-2,-1,1,2,3,4,5,6,7,8,9,10,11,12,13,14,15,16,17,18,19,20,21,22,23,24,25,26,27,28,29,30"</formula1>
    </dataValidation>
  </dataValidations>
  <hyperlinks>
    <hyperlink ref="G2" location="'8'!A1" display="[8]"/>
  </hyperlink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11"/>
  <dimension ref="A1:K38"/>
  <sheetViews>
    <sheetView workbookViewId="0" topLeftCell="A1">
      <pane ySplit="5" topLeftCell="BM6" activePane="bottomLeft" state="frozen"/>
      <selection pane="topLeft" activeCell="A1" sqref="A1"/>
      <selection pane="bottomLeft" activeCell="A1" sqref="A1"/>
    </sheetView>
  </sheetViews>
  <sheetFormatPr defaultColWidth="8.796875" defaultRowHeight="15"/>
  <cols>
    <col min="1" max="1" width="5.19921875" style="7" customWidth="1"/>
    <col min="2" max="2" width="0.8984375" style="7" customWidth="1"/>
    <col min="3" max="5" width="15.19921875" style="7" customWidth="1"/>
    <col min="6" max="6" width="0.8984375" style="7" customWidth="1"/>
    <col min="7" max="7" width="7.69921875" style="7" customWidth="1"/>
    <col min="8" max="8" width="0.8984375" style="7" customWidth="1"/>
    <col min="9" max="9" width="15.5" style="7" customWidth="1"/>
    <col min="10" max="11" width="7.69921875" style="7" customWidth="1"/>
  </cols>
  <sheetData>
    <row r="1" spans="9:11" ht="16.5" thickBot="1">
      <c r="I1" s="4" t="s">
        <v>72</v>
      </c>
      <c r="J1" s="19">
        <f>7!J1+I4</f>
        <v>0</v>
      </c>
      <c r="K1" s="2" t="str">
        <f>6!I1</f>
        <v>Torso</v>
      </c>
    </row>
    <row r="2" spans="1:10" ht="15.75">
      <c r="A2" s="9" t="s">
        <v>80</v>
      </c>
      <c r="B2" s="9"/>
      <c r="C2" s="129" t="s">
        <v>295</v>
      </c>
      <c r="D2" s="140"/>
      <c r="E2" s="141"/>
      <c r="F2" s="35"/>
      <c r="G2" s="33" t="s">
        <v>84</v>
      </c>
      <c r="I2" s="22"/>
      <c r="J2" s="22"/>
    </row>
    <row r="3" spans="1:9" ht="15.75">
      <c r="A3" s="9"/>
      <c r="B3" s="9"/>
      <c r="C3" s="9"/>
      <c r="E3" s="1"/>
      <c r="G3" s="8"/>
      <c r="I3" s="2"/>
    </row>
    <row r="4" spans="1:9" ht="15.75">
      <c r="A4" s="9"/>
      <c r="B4" s="9"/>
      <c r="C4" s="9"/>
      <c r="E4" s="4" t="s">
        <v>155</v>
      </c>
      <c r="G4" s="6" t="s">
        <v>56</v>
      </c>
      <c r="I4" s="34">
        <f>IF(G4="choose",0,G4)</f>
        <v>0</v>
      </c>
    </row>
    <row r="6" spans="4:5" ht="15.75">
      <c r="D6" s="38" t="s">
        <v>85</v>
      </c>
      <c r="E6" s="38" t="s">
        <v>157</v>
      </c>
    </row>
    <row r="7" spans="4:11" ht="15.75">
      <c r="D7" s="16">
        <v>0</v>
      </c>
      <c r="E7" s="16" t="s">
        <v>174</v>
      </c>
      <c r="I7" s="138" t="s">
        <v>206</v>
      </c>
      <c r="J7" s="138"/>
      <c r="K7" s="138"/>
    </row>
    <row r="8" spans="4:11" ht="15.75">
      <c r="D8" s="16">
        <v>-1</v>
      </c>
      <c r="E8" s="16" t="s">
        <v>175</v>
      </c>
      <c r="I8" s="138"/>
      <c r="J8" s="138"/>
      <c r="K8" s="138"/>
    </row>
    <row r="9" spans="4:11" ht="15.75">
      <c r="D9" s="16">
        <v>-2</v>
      </c>
      <c r="E9" s="16" t="s">
        <v>176</v>
      </c>
      <c r="I9" s="138"/>
      <c r="J9" s="138"/>
      <c r="K9" s="138"/>
    </row>
    <row r="10" spans="4:11" ht="15.75">
      <c r="D10" s="16">
        <v>-3</v>
      </c>
      <c r="E10" s="16" t="s">
        <v>177</v>
      </c>
      <c r="I10" s="138"/>
      <c r="J10" s="138"/>
      <c r="K10" s="138"/>
    </row>
    <row r="11" spans="4:11" ht="15.75">
      <c r="D11" s="16">
        <v>-4</v>
      </c>
      <c r="E11" s="16" t="s">
        <v>178</v>
      </c>
      <c r="G11" s="16" t="s">
        <v>209</v>
      </c>
      <c r="I11" s="139"/>
      <c r="J11" s="139"/>
      <c r="K11" s="139"/>
    </row>
    <row r="12" spans="4:5" ht="15.75">
      <c r="D12" s="16">
        <v>-5</v>
      </c>
      <c r="E12" s="16" t="s">
        <v>179</v>
      </c>
    </row>
    <row r="13" spans="4:11" ht="15.75">
      <c r="D13" s="16">
        <v>-6</v>
      </c>
      <c r="E13" s="16" t="s">
        <v>180</v>
      </c>
      <c r="I13" s="138" t="s">
        <v>207</v>
      </c>
      <c r="J13" s="138"/>
      <c r="K13" s="138"/>
    </row>
    <row r="14" spans="4:11" ht="15.75">
      <c r="D14" s="16">
        <v>-7</v>
      </c>
      <c r="E14" s="16" t="s">
        <v>181</v>
      </c>
      <c r="I14" s="138"/>
      <c r="J14" s="138"/>
      <c r="K14" s="138"/>
    </row>
    <row r="15" spans="4:11" ht="15.75">
      <c r="D15" s="16">
        <v>-8</v>
      </c>
      <c r="E15" s="16" t="s">
        <v>182</v>
      </c>
      <c r="G15" s="16" t="s">
        <v>208</v>
      </c>
      <c r="I15" s="138"/>
      <c r="J15" s="138"/>
      <c r="K15" s="138"/>
    </row>
    <row r="16" spans="4:5" ht="15.75">
      <c r="D16" s="16">
        <v>-9</v>
      </c>
      <c r="E16" s="16" t="s">
        <v>183</v>
      </c>
    </row>
    <row r="17" spans="4:11" ht="15.75">
      <c r="D17" s="16">
        <v>-10</v>
      </c>
      <c r="E17" s="16" t="s">
        <v>184</v>
      </c>
      <c r="I17" s="138" t="s">
        <v>210</v>
      </c>
      <c r="J17" s="138"/>
      <c r="K17" s="138"/>
    </row>
    <row r="18" spans="4:11" ht="15.75">
      <c r="D18" s="16">
        <v>-11</v>
      </c>
      <c r="E18" s="16" t="s">
        <v>185</v>
      </c>
      <c r="I18" s="138"/>
      <c r="J18" s="138"/>
      <c r="K18" s="138"/>
    </row>
    <row r="19" spans="4:5" ht="15.75">
      <c r="D19" s="16">
        <v>-12</v>
      </c>
      <c r="E19" s="16" t="s">
        <v>186</v>
      </c>
    </row>
    <row r="20" spans="4:7" ht="15.75">
      <c r="D20" s="16">
        <v>-13</v>
      </c>
      <c r="E20" s="16" t="s">
        <v>187</v>
      </c>
      <c r="G20" s="16"/>
    </row>
    <row r="21" spans="4:5" ht="15.75">
      <c r="D21" s="16">
        <v>-14</v>
      </c>
      <c r="E21" s="16" t="s">
        <v>188</v>
      </c>
    </row>
    <row r="22" spans="4:5" ht="15.75">
      <c r="D22" s="16">
        <v>-15</v>
      </c>
      <c r="E22" s="16" t="s">
        <v>189</v>
      </c>
    </row>
    <row r="23" spans="4:5" ht="15.75">
      <c r="D23" s="16">
        <v>-16</v>
      </c>
      <c r="E23" s="16" t="s">
        <v>190</v>
      </c>
    </row>
    <row r="24" spans="4:5" ht="15.75">
      <c r="D24" s="16">
        <v>-17</v>
      </c>
      <c r="E24" s="16" t="s">
        <v>191</v>
      </c>
    </row>
    <row r="25" spans="4:5" ht="15.75">
      <c r="D25" s="16">
        <v>-18</v>
      </c>
      <c r="E25" s="16" t="s">
        <v>192</v>
      </c>
    </row>
    <row r="26" spans="4:5" ht="15.75">
      <c r="D26" s="16">
        <v>-19</v>
      </c>
      <c r="E26" s="16" t="s">
        <v>193</v>
      </c>
    </row>
    <row r="27" spans="4:5" ht="15.75">
      <c r="D27" s="16">
        <v>-20</v>
      </c>
      <c r="E27" s="16" t="s">
        <v>194</v>
      </c>
    </row>
    <row r="28" spans="4:5" ht="15.75">
      <c r="D28" s="16">
        <v>-21</v>
      </c>
      <c r="E28" s="16" t="s">
        <v>195</v>
      </c>
    </row>
    <row r="29" spans="4:5" ht="15.75">
      <c r="D29" s="16">
        <v>-22</v>
      </c>
      <c r="E29" s="16" t="s">
        <v>196</v>
      </c>
    </row>
    <row r="30" spans="4:5" ht="15.75">
      <c r="D30" s="16">
        <v>-23</v>
      </c>
      <c r="E30" s="16" t="s">
        <v>197</v>
      </c>
    </row>
    <row r="31" spans="4:5" ht="15.75">
      <c r="D31" s="16">
        <v>-24</v>
      </c>
      <c r="E31" s="16" t="s">
        <v>198</v>
      </c>
    </row>
    <row r="32" spans="4:5" ht="15.75">
      <c r="D32" s="16">
        <v>-25</v>
      </c>
      <c r="E32" s="16" t="s">
        <v>199</v>
      </c>
    </row>
    <row r="33" spans="4:5" ht="15.75">
      <c r="D33" s="16">
        <v>-26</v>
      </c>
      <c r="E33" s="16" t="s">
        <v>200</v>
      </c>
    </row>
    <row r="34" spans="4:5" ht="15.75">
      <c r="D34" s="16">
        <v>-27</v>
      </c>
      <c r="E34" s="16" t="s">
        <v>201</v>
      </c>
    </row>
    <row r="35" spans="4:5" ht="15.75">
      <c r="D35" s="16">
        <v>-28</v>
      </c>
      <c r="E35" s="16" t="s">
        <v>202</v>
      </c>
    </row>
    <row r="36" spans="4:5" ht="15.75">
      <c r="D36" s="16">
        <v>-29</v>
      </c>
      <c r="E36" s="16" t="s">
        <v>203</v>
      </c>
    </row>
    <row r="37" spans="4:5" ht="15.75">
      <c r="D37" s="16">
        <v>-30</v>
      </c>
      <c r="E37" s="16" t="s">
        <v>204</v>
      </c>
    </row>
    <row r="38" spans="4:5" ht="15.75">
      <c r="D38" s="16" t="s">
        <v>159</v>
      </c>
      <c r="E38" s="16" t="s">
        <v>159</v>
      </c>
    </row>
  </sheetData>
  <mergeCells count="4">
    <mergeCell ref="C2:E2"/>
    <mergeCell ref="I7:K11"/>
    <mergeCell ref="I13:K15"/>
    <mergeCell ref="I17:K18"/>
  </mergeCells>
  <dataValidations count="1">
    <dataValidation type="list" allowBlank="1" showErrorMessage="1" promptTitle="Unmodified Weapon Skill" prompt="Select your Unmodified Weapon Skill from the range 0 to 35." sqref="G4">
      <formula1>"choose,0,-1,-2,-3,-4,-5,-6,-7,-8,-9,-10,-11,-12,-13,-14,-15,-16,-17,-18,-19,-20,-21,-22,-23,-24,-25,-26,-27,-28,-29,-30"</formula1>
    </dataValidation>
  </dataValidations>
  <hyperlinks>
    <hyperlink ref="G2" location="'9'!A1" display="[9]"/>
  </hyperlink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Mook</dc:creator>
  <cp:keywords/>
  <dc:description/>
  <cp:lastModifiedBy>Mook</cp:lastModifiedBy>
  <dcterms:created xsi:type="dcterms:W3CDTF">2008-07-08T20:43:41Z</dcterms:created>
  <dcterms:modified xsi:type="dcterms:W3CDTF">2008-09-11T18:08:30Z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